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8940" tabRatio="599" firstSheet="1" activeTab="2"/>
  </bookViews>
  <sheets>
    <sheet name="loan repayment" sheetId="1" r:id="rId1"/>
    <sheet name="30 trainees" sheetId="2" r:id="rId2"/>
    <sheet name="20 trainees" sheetId="3" r:id="rId3"/>
    <sheet name="CALCULATION" sheetId="4" r:id="rId4"/>
  </sheets>
  <definedNames>
    <definedName name="_xlnm.Print_Area" localSheetId="2">'20 trainees'!$B$1:$M$144</definedName>
    <definedName name="_xlnm.Print_Area" localSheetId="1">'30 trainees'!$A$1:$L$147</definedName>
    <definedName name="_xlnm.Print_Titles" localSheetId="2">'20 trainees'!$1:$1</definedName>
    <definedName name="_xlnm.Print_Titles" localSheetId="1">'30 trainees'!$1:$1</definedName>
  </definedNames>
  <calcPr fullCalcOnLoad="1"/>
</workbook>
</file>

<file path=xl/comments4.xml><?xml version="1.0" encoding="utf-8"?>
<comments xmlns="http://schemas.openxmlformats.org/spreadsheetml/2006/main">
  <authors>
    <author>Anindya Banerjee</author>
  </authors>
  <commentList>
    <comment ref="B81" authorId="0">
      <text>
        <r>
          <rPr>
            <b/>
            <sz val="9"/>
            <rFont val="Tahoma"/>
            <family val="2"/>
          </rPr>
          <t>Anindya Banerjee:</t>
        </r>
        <r>
          <rPr>
            <sz val="9"/>
            <rFont val="Tahoma"/>
            <family val="2"/>
          </rPr>
          <t xml:space="preserve">
Cost will increase with additional RAM as per directive of BSDM on website</t>
        </r>
      </text>
    </comment>
  </commentList>
</comments>
</file>

<file path=xl/sharedStrings.xml><?xml version="1.0" encoding="utf-8"?>
<sst xmlns="http://schemas.openxmlformats.org/spreadsheetml/2006/main" count="407" uniqueCount="163">
  <si>
    <t>DETAILS OF BALANCE SHEET AND PROFIT &amp; LOSS ACCOUNT</t>
  </si>
  <si>
    <t>SECURED LOAN:</t>
  </si>
  <si>
    <t>FIXED ASSETS:</t>
  </si>
  <si>
    <t>Computer &amp; Peripherals</t>
  </si>
  <si>
    <t>Purchase Cost</t>
  </si>
  <si>
    <t>Depreciation</t>
  </si>
  <si>
    <t>WDV as on 31.03.2016</t>
  </si>
  <si>
    <t>Furniture &amp; Fixture</t>
  </si>
  <si>
    <t>Office Equipments</t>
  </si>
  <si>
    <t>SKILL DEVELOPMENT CENTRE</t>
  </si>
  <si>
    <t>Under Bihar Skill Development Mission</t>
  </si>
  <si>
    <t>PATNA</t>
  </si>
  <si>
    <t>[PROJECT : KUSHAL YUVA PROGRAM]</t>
  </si>
  <si>
    <t>for Details: www.skillmissionbihar.org</t>
  </si>
  <si>
    <t>Server Desktop</t>
  </si>
  <si>
    <t>20+1 user lab</t>
  </si>
  <si>
    <t>Electrical Equipments+wiring</t>
  </si>
  <si>
    <t>Furniture (chairs &amp; table)</t>
  </si>
  <si>
    <t>Networking equipments &amp; cabling</t>
  </si>
  <si>
    <t>Office Equipment</t>
  </si>
  <si>
    <t>Furniture&amp; Fixtures</t>
  </si>
  <si>
    <t>GENERATOR 5KVA</t>
  </si>
  <si>
    <t>CCTV (4IP/IR+NVR+Storage)</t>
  </si>
  <si>
    <t>UPS 3KVA Online</t>
  </si>
  <si>
    <t>WebCam+Headphone+Mic+Speaker</t>
  </si>
  <si>
    <t>5KVA Inverter</t>
  </si>
  <si>
    <t>Monthly expenses</t>
  </si>
  <si>
    <t>Monthly Rental for 1200 Sq ft</t>
  </si>
  <si>
    <t xml:space="preserve">Internet, Electricity &amp; Fuel cost per Month </t>
  </si>
  <si>
    <t>YEAR 1</t>
  </si>
  <si>
    <t>YEAR 2</t>
  </si>
  <si>
    <t>YEAR 3</t>
  </si>
  <si>
    <t>YEAR 4</t>
  </si>
  <si>
    <t>YEAR 5</t>
  </si>
  <si>
    <t>WDV as on 31.03.2017</t>
  </si>
  <si>
    <t>WDV as on 31.03.2018</t>
  </si>
  <si>
    <t>WDV as on 31.03.2019</t>
  </si>
  <si>
    <t>WDV as on 31.03.2020</t>
  </si>
  <si>
    <t>Centre Manager  cum Trainer 1 @ 12000/-</t>
  </si>
  <si>
    <t>Lab Assistant cum Trainer @ 10000</t>
  </si>
  <si>
    <t>Office Assistant cum Peon</t>
  </si>
  <si>
    <t>Office Expenses</t>
  </si>
  <si>
    <t>MFP</t>
  </si>
  <si>
    <t>Loan from Bank for 5 Year Period</t>
  </si>
  <si>
    <t>MONTHLY EXPENSES/SDC:</t>
  </si>
  <si>
    <t>PER Month</t>
  </si>
  <si>
    <t>Fee per student for 240 hrs.(30.95x240)</t>
  </si>
  <si>
    <t>1 batch of 20 each 240 Hours/3 Months Duration</t>
  </si>
  <si>
    <t>Fee per Batch (7428x20=148560)</t>
  </si>
  <si>
    <t>Average Total Fee Per Month=148560/3)</t>
  </si>
  <si>
    <t>Total Fee Per year (49520x12)</t>
  </si>
  <si>
    <t>Yearly Expenses per SDC</t>
  </si>
  <si>
    <t>INCOME FROM COURSE FEE:</t>
  </si>
  <si>
    <t>One Time Investment on Setup of Lab</t>
  </si>
  <si>
    <t>Microsoft Software (Server+CAL+MSOffice Suite)</t>
  </si>
  <si>
    <t>Loan From Financial Institution (17% reducing)</t>
  </si>
  <si>
    <t>Less: Interest paid during the year</t>
  </si>
  <si>
    <t>PROFIT / LOSS</t>
  </si>
  <si>
    <t>1 batch of 30 each 240 Hours/3 Months Duration</t>
  </si>
  <si>
    <t>With Batch Size of 30 Students</t>
  </si>
  <si>
    <t>With Batch Size of 20 Students</t>
  </si>
  <si>
    <t>Principal Amount paid (assumption)</t>
  </si>
  <si>
    <t>30+1 user lab</t>
  </si>
  <si>
    <t>WinSvrStd 2012R2 SNGL OLP NL Acdmc 2Proc</t>
  </si>
  <si>
    <t>WinSvrCAL 2012 SNGL OLP NL Acdmc UsrCAL</t>
  </si>
  <si>
    <t>Cost</t>
  </si>
  <si>
    <t>Windows License Cost</t>
  </si>
  <si>
    <t>Office Std 2016 SNGL OLP NL ACDMC</t>
  </si>
  <si>
    <t>Tax (15%+6%)</t>
  </si>
  <si>
    <t>UPS 3KVA Online x 2</t>
  </si>
  <si>
    <t xml:space="preserve">GENERATOR 5KVA </t>
  </si>
  <si>
    <t>30 Nos Client Laptop</t>
  </si>
  <si>
    <t>20 Nos Client Laptop</t>
  </si>
  <si>
    <t>Ist Years</t>
  </si>
  <si>
    <t xml:space="preserve">2nd Year </t>
  </si>
  <si>
    <t>3rd Year</t>
  </si>
  <si>
    <t>4th year</t>
  </si>
  <si>
    <t>5th Year</t>
  </si>
  <si>
    <t>Salary</t>
  </si>
  <si>
    <t>Rent</t>
  </si>
  <si>
    <t xml:space="preserve">Electricity </t>
  </si>
  <si>
    <t>Generator Expenses</t>
  </si>
  <si>
    <t>Telephone &amp; Internett Expenses</t>
  </si>
  <si>
    <t>Interest on Loan</t>
  </si>
  <si>
    <t>Net Profit</t>
  </si>
  <si>
    <t>By Course Fees</t>
  </si>
  <si>
    <t>Expenditure</t>
  </si>
  <si>
    <t>Income</t>
  </si>
  <si>
    <t>LIABILITIES</t>
  </si>
  <si>
    <t>ASSETS</t>
  </si>
  <si>
    <t>CAPITAL ACCOUNT</t>
  </si>
  <si>
    <t>SECURED LOAN</t>
  </si>
  <si>
    <t>FIXED ASSETS</t>
  </si>
  <si>
    <t>DEPOSITS WITH LANDLORD</t>
  </si>
  <si>
    <t>CASH AT BANK</t>
  </si>
  <si>
    <t>CASH IN HAND</t>
  </si>
  <si>
    <t>Net Profit during the year</t>
  </si>
  <si>
    <t>Monthly Fees Collection</t>
  </si>
  <si>
    <t>per hour</t>
  </si>
  <si>
    <t>Duration</t>
  </si>
  <si>
    <t>Total Fees</t>
  </si>
  <si>
    <t>Fees for Batch of 20</t>
  </si>
  <si>
    <t>Batch Size 20</t>
  </si>
  <si>
    <t>Total Batches in a year</t>
  </si>
  <si>
    <t>Cash &amp; Bank Balances</t>
  </si>
  <si>
    <t xml:space="preserve">CASH &amp; BANK BALANCES </t>
  </si>
  <si>
    <t>INFLOW</t>
  </si>
  <si>
    <t>OUTFLOW</t>
  </si>
  <si>
    <t xml:space="preserve">INCOME </t>
  </si>
  <si>
    <t>LOAN REPAYMENT</t>
  </si>
  <si>
    <t>EXPENSES</t>
  </si>
  <si>
    <t>OPENING CASH &amp; BANK BALANCES</t>
  </si>
  <si>
    <t>Less Depreciation</t>
  </si>
  <si>
    <t>Repair &amp; Maintenance</t>
  </si>
  <si>
    <t>ASSUMPTION</t>
  </si>
  <si>
    <t>Total Fees  per year</t>
  </si>
  <si>
    <t>Administrative Coat</t>
  </si>
  <si>
    <t>Loan Repayment Schedule</t>
  </si>
  <si>
    <t xml:space="preserve">Fixed Assets Schedule </t>
  </si>
  <si>
    <t>Support Staff @ 8000</t>
  </si>
  <si>
    <t>Office Assistant cum Peon (part time)</t>
  </si>
  <si>
    <t>Preopertive</t>
  </si>
  <si>
    <t>Training Fees per hour from BSDM</t>
  </si>
  <si>
    <t>Preoperative</t>
  </si>
  <si>
    <t>Repayment</t>
  </si>
  <si>
    <t>Banalnce</t>
  </si>
  <si>
    <t>Interest</t>
  </si>
  <si>
    <t>Loan</t>
  </si>
  <si>
    <t>Ist Year</t>
  </si>
  <si>
    <t>4th Year</t>
  </si>
  <si>
    <t>5th year</t>
  </si>
  <si>
    <t>Repayment of princiipal will be start from 3rd  Quarter</t>
  </si>
  <si>
    <t>Ist Qtr</t>
  </si>
  <si>
    <t>2nd Qtr</t>
  </si>
  <si>
    <t>3rd Qtr</t>
  </si>
  <si>
    <t>4th Qtr</t>
  </si>
  <si>
    <t>2nd Yr</t>
  </si>
  <si>
    <t>6th Year</t>
  </si>
  <si>
    <t>Cost of Fixed Assets</t>
  </si>
  <si>
    <t>Kushal Yuva Program</t>
  </si>
  <si>
    <t xml:space="preserve">Projected Profit &amp; Loss Account for the period for five years </t>
  </si>
  <si>
    <t xml:space="preserve">Project Balancesheet for five years </t>
  </si>
  <si>
    <t xml:space="preserve">Projected  fund flow Statement for five years </t>
  </si>
  <si>
    <t>Faculty</t>
  </si>
  <si>
    <t>Balance</t>
  </si>
  <si>
    <t>Administrative Cost</t>
  </si>
  <si>
    <t>4 Batches in one Quarter</t>
  </si>
  <si>
    <t>Unit</t>
  </si>
  <si>
    <t>Cost/Unit</t>
  </si>
  <si>
    <t>Bio Metric (Adharenabled)</t>
  </si>
  <si>
    <t>Miscellaneose Assets</t>
  </si>
  <si>
    <t xml:space="preserve">Tables </t>
  </si>
  <si>
    <t>Projecttor</t>
  </si>
  <si>
    <t>Total Cost(Rs.)</t>
  </si>
  <si>
    <t>Client Laptop</t>
  </si>
  <si>
    <t>Other Furniture &amp; Fixtures</t>
  </si>
  <si>
    <t>Deduction due to droppage</t>
  </si>
  <si>
    <t xml:space="preserve">Unit </t>
  </si>
  <si>
    <t>Unit Cost</t>
  </si>
  <si>
    <t>Counsellor</t>
  </si>
  <si>
    <t>Bihar Kaushal Vikash Mission,Labour Resource Department,GOB</t>
  </si>
  <si>
    <t>Projected Profit &amp; Loss Account for the period for five years                                  Amounts (Rs.)</t>
  </si>
  <si>
    <t>Project Balancesheet for five years                           Amount Rs.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</si>
</sst>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_);\(0.00\)"/>
    <numFmt numFmtId="179" formatCode="#,##0.0_);\(#,##0.0\)"/>
    <numFmt numFmtId="180" formatCode="0.000"/>
    <numFmt numFmtId="181" formatCode="0.0"/>
    <numFmt numFmtId="182" formatCode="0.00;[Red]0.00"/>
    <numFmt numFmtId="183" formatCode="#,##0.00;[Red]#,##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4">
    <font>
      <sz val="10"/>
      <name val="Arial"/>
      <family val="0"/>
    </font>
    <font>
      <sz val="12"/>
      <name val="Times New Roman"/>
      <family val="1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6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21"/>
      <color indexed="63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sz val="21"/>
      <color rgb="FF333333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43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43" fontId="0" fillId="0" borderId="12" xfId="42" applyFont="1" applyBorder="1" applyAlignment="1">
      <alignment/>
    </xf>
    <xf numFmtId="43" fontId="1" fillId="0" borderId="0" xfId="42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3" fontId="1" fillId="0" borderId="0" xfId="42" applyFont="1" applyAlignment="1">
      <alignment/>
    </xf>
    <xf numFmtId="43" fontId="5" fillId="33" borderId="0" xfId="42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43" fontId="0" fillId="0" borderId="0" xfId="0" applyNumberFormat="1" applyAlignment="1">
      <alignment/>
    </xf>
    <xf numFmtId="18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0" fontId="0" fillId="34" borderId="0" xfId="0" applyFont="1" applyFill="1" applyAlignment="1">
      <alignment/>
    </xf>
    <xf numFmtId="43" fontId="0" fillId="34" borderId="0" xfId="42" applyFont="1" applyFill="1" applyAlignment="1">
      <alignment/>
    </xf>
    <xf numFmtId="43" fontId="0" fillId="16" borderId="10" xfId="42" applyFont="1" applyFill="1" applyBorder="1" applyAlignment="1">
      <alignment/>
    </xf>
    <xf numFmtId="43" fontId="0" fillId="16" borderId="0" xfId="42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3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0" fillId="16" borderId="14" xfId="0" applyFont="1" applyFill="1" applyBorder="1" applyAlignment="1">
      <alignment horizontal="right"/>
    </xf>
    <xf numFmtId="43" fontId="57" fillId="34" borderId="11" xfId="42" applyFont="1" applyFill="1" applyBorder="1" applyAlignment="1">
      <alignment/>
    </xf>
    <xf numFmtId="43" fontId="57" fillId="16" borderId="0" xfId="42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8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8" fillId="0" borderId="0" xfId="0" applyFont="1" applyAlignment="1">
      <alignment/>
    </xf>
    <xf numFmtId="0" fontId="3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43" fontId="0" fillId="0" borderId="0" xfId="42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43" fontId="0" fillId="34" borderId="0" xfId="42" applyFont="1" applyFill="1" applyBorder="1" applyAlignment="1">
      <alignment/>
    </xf>
    <xf numFmtId="0" fontId="6" fillId="34" borderId="0" xfId="0" applyFont="1" applyFill="1" applyBorder="1" applyAlignment="1">
      <alignment/>
    </xf>
    <xf numFmtId="43" fontId="57" fillId="34" borderId="17" xfId="4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16" borderId="15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16" xfId="0" applyFill="1" applyBorder="1" applyAlignment="1">
      <alignment/>
    </xf>
    <xf numFmtId="0" fontId="6" fillId="16" borderId="0" xfId="0" applyFont="1" applyFill="1" applyBorder="1" applyAlignment="1">
      <alignment/>
    </xf>
    <xf numFmtId="43" fontId="57" fillId="16" borderId="16" xfId="42" applyFont="1" applyFill="1" applyBorder="1" applyAlignment="1">
      <alignment/>
    </xf>
    <xf numFmtId="0" fontId="8" fillId="36" borderId="18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171" fontId="8" fillId="36" borderId="19" xfId="0" applyNumberFormat="1" applyFont="1" applyFill="1" applyBorder="1" applyAlignment="1">
      <alignment/>
    </xf>
    <xf numFmtId="171" fontId="8" fillId="36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" fillId="0" borderId="13" xfId="0" applyFont="1" applyBorder="1" applyAlignment="1">
      <alignment/>
    </xf>
    <xf numFmtId="0" fontId="59" fillId="37" borderId="13" xfId="0" applyFont="1" applyFill="1" applyBorder="1" applyAlignment="1">
      <alignment horizontal="left" vertical="center"/>
    </xf>
    <xf numFmtId="0" fontId="59" fillId="37" borderId="2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60" fillId="37" borderId="13" xfId="0" applyFont="1" applyFill="1" applyBorder="1" applyAlignment="1">
      <alignment horizontal="right" vertical="center"/>
    </xf>
    <xf numFmtId="0" fontId="59" fillId="37" borderId="13" xfId="0" applyFont="1" applyFill="1" applyBorder="1" applyAlignment="1">
      <alignment horizontal="center" vertical="center"/>
    </xf>
    <xf numFmtId="0" fontId="61" fillId="37" borderId="13" xfId="0" applyFont="1" applyFill="1" applyBorder="1" applyAlignment="1">
      <alignment horizontal="center" vertical="center"/>
    </xf>
    <xf numFmtId="0" fontId="59" fillId="37" borderId="13" xfId="0" applyFont="1" applyFill="1" applyBorder="1" applyAlignment="1">
      <alignment horizontal="right" vertical="center"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49" fillId="0" borderId="0" xfId="53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21" xfId="0" applyBorder="1" applyAlignment="1">
      <alignment wrapText="1"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38" borderId="0" xfId="0" applyFill="1" applyBorder="1" applyAlignment="1">
      <alignment/>
    </xf>
    <xf numFmtId="0" fontId="0" fillId="0" borderId="22" xfId="0" applyBorder="1" applyAlignment="1">
      <alignment/>
    </xf>
    <xf numFmtId="0" fontId="0" fillId="33" borderId="21" xfId="0" applyFill="1" applyBorder="1" applyAlignment="1">
      <alignment/>
    </xf>
    <xf numFmtId="0" fontId="0" fillId="0" borderId="23" xfId="0" applyBorder="1" applyAlignment="1">
      <alignment/>
    </xf>
    <xf numFmtId="0" fontId="0" fillId="39" borderId="0" xfId="0" applyFill="1" applyAlignment="1">
      <alignment/>
    </xf>
    <xf numFmtId="0" fontId="5" fillId="39" borderId="0" xfId="0" applyFont="1" applyFill="1" applyAlignment="1">
      <alignment/>
    </xf>
    <xf numFmtId="0" fontId="0" fillId="38" borderId="1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24" xfId="0" applyBorder="1" applyAlignment="1">
      <alignment/>
    </xf>
    <xf numFmtId="43" fontId="0" fillId="38" borderId="24" xfId="42" applyFont="1" applyFill="1" applyBorder="1" applyAlignment="1">
      <alignment/>
    </xf>
    <xf numFmtId="43" fontId="0" fillId="38" borderId="24" xfId="0" applyNumberFormat="1" applyFill="1" applyBorder="1" applyAlignment="1">
      <alignment/>
    </xf>
    <xf numFmtId="0" fontId="0" fillId="38" borderId="24" xfId="0" applyFill="1" applyBorder="1" applyAlignment="1">
      <alignment/>
    </xf>
    <xf numFmtId="0" fontId="0" fillId="39" borderId="13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33" borderId="13" xfId="0" applyFill="1" applyBorder="1" applyAlignment="1">
      <alignment wrapText="1"/>
    </xf>
    <xf numFmtId="0" fontId="5" fillId="39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38" borderId="0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39" borderId="0" xfId="0" applyFill="1" applyAlignment="1">
      <alignment wrapText="1"/>
    </xf>
    <xf numFmtId="0" fontId="0" fillId="0" borderId="21" xfId="0" applyFont="1" applyBorder="1" applyAlignment="1">
      <alignment wrapText="1"/>
    </xf>
    <xf numFmtId="0" fontId="0" fillId="39" borderId="0" xfId="0" applyFont="1" applyFill="1" applyAlignment="1">
      <alignment wrapText="1"/>
    </xf>
    <xf numFmtId="0" fontId="0" fillId="38" borderId="21" xfId="0" applyFont="1" applyFill="1" applyBorder="1" applyAlignment="1">
      <alignment wrapText="1"/>
    </xf>
    <xf numFmtId="0" fontId="0" fillId="38" borderId="21" xfId="0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33" borderId="0" xfId="0" applyFont="1" applyFill="1" applyAlignment="1">
      <alignment wrapText="1"/>
    </xf>
    <xf numFmtId="0" fontId="3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0" fillId="33" borderId="13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9" borderId="13" xfId="0" applyFill="1" applyBorder="1" applyAlignment="1">
      <alignment wrapText="1"/>
    </xf>
    <xf numFmtId="0" fontId="0" fillId="33" borderId="0" xfId="0" applyFill="1" applyAlignment="1">
      <alignment wrapText="1"/>
    </xf>
    <xf numFmtId="1" fontId="0" fillId="0" borderId="0" xfId="0" applyNumberFormat="1" applyAlignment="1">
      <alignment/>
    </xf>
    <xf numFmtId="1" fontId="0" fillId="33" borderId="13" xfId="0" applyNumberFormat="1" applyFill="1" applyBorder="1" applyAlignment="1">
      <alignment/>
    </xf>
    <xf numFmtId="1" fontId="0" fillId="33" borderId="13" xfId="0" applyNumberFormat="1" applyFill="1" applyBorder="1" applyAlignment="1">
      <alignment wrapText="1"/>
    </xf>
    <xf numFmtId="0" fontId="6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0" fillId="33" borderId="25" xfId="0" applyFont="1" applyFill="1" applyBorder="1" applyAlignment="1">
      <alignment horizontal="center" wrapText="1"/>
    </xf>
    <xf numFmtId="0" fontId="10" fillId="33" borderId="26" xfId="0" applyFont="1" applyFill="1" applyBorder="1" applyAlignment="1">
      <alignment horizontal="center" wrapText="1"/>
    </xf>
    <xf numFmtId="0" fontId="10" fillId="33" borderId="27" xfId="0" applyFont="1" applyFill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21" xfId="0" applyBorder="1" applyAlignment="1">
      <alignment wrapText="1"/>
    </xf>
    <xf numFmtId="43" fontId="1" fillId="33" borderId="0" xfId="42" applyFont="1" applyFill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/>
    </xf>
    <xf numFmtId="43" fontId="1" fillId="33" borderId="0" xfId="42" applyFont="1" applyFill="1" applyAlignment="1">
      <alignment horizontal="center"/>
    </xf>
    <xf numFmtId="0" fontId="3" fillId="40" borderId="13" xfId="0" applyFont="1" applyFill="1" applyBorder="1" applyAlignment="1">
      <alignment wrapText="1"/>
    </xf>
    <xf numFmtId="0" fontId="0" fillId="40" borderId="13" xfId="0" applyFill="1" applyBorder="1" applyAlignment="1">
      <alignment/>
    </xf>
    <xf numFmtId="0" fontId="0" fillId="38" borderId="0" xfId="0" applyFill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9" borderId="13" xfId="0" applyFont="1" applyFill="1" applyBorder="1" applyAlignment="1">
      <alignment/>
    </xf>
    <xf numFmtId="0" fontId="0" fillId="39" borderId="0" xfId="0" applyFont="1" applyFill="1" applyAlignment="1">
      <alignment/>
    </xf>
    <xf numFmtId="1" fontId="49" fillId="0" borderId="0" xfId="53" applyNumberFormat="1" applyAlignment="1">
      <alignment/>
    </xf>
    <xf numFmtId="1" fontId="5" fillId="0" borderId="0" xfId="0" applyNumberFormat="1" applyFont="1" applyAlignment="1">
      <alignment wrapText="1"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0" fontId="37" fillId="0" borderId="10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37" fillId="0" borderId="0" xfId="0" applyFont="1" applyBorder="1" applyAlignment="1">
      <alignment horizontal="center" wrapText="1"/>
    </xf>
    <xf numFmtId="1" fontId="0" fillId="0" borderId="13" xfId="0" applyNumberFormat="1" applyBorder="1" applyAlignment="1">
      <alignment/>
    </xf>
    <xf numFmtId="1" fontId="0" fillId="0" borderId="13" xfId="0" applyNumberFormat="1" applyBorder="1" applyAlignment="1">
      <alignment horizontal="center" wrapText="1"/>
    </xf>
    <xf numFmtId="1" fontId="0" fillId="33" borderId="13" xfId="0" applyNumberFormat="1" applyFill="1" applyBorder="1" applyAlignment="1">
      <alignment horizontal="center" wrapText="1"/>
    </xf>
    <xf numFmtId="0" fontId="0" fillId="33" borderId="0" xfId="0" applyFill="1" applyBorder="1" applyAlignment="1">
      <alignment wrapText="1"/>
    </xf>
    <xf numFmtId="0" fontId="0" fillId="39" borderId="21" xfId="0" applyFill="1" applyBorder="1" applyAlignment="1">
      <alignment/>
    </xf>
    <xf numFmtId="0" fontId="0" fillId="38" borderId="21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+C15-@sum(C5:C13)" TargetMode="External" /><Relationship Id="rId2" Type="http://schemas.openxmlformats.org/officeDocument/2006/relationships/hyperlink" Target="mailto:+D15-@sum(D5:D12)" TargetMode="External" /><Relationship Id="rId3" Type="http://schemas.openxmlformats.org/officeDocument/2006/relationships/hyperlink" Target="mailto:+E15-@sum(E5:E13)" TargetMode="External" /><Relationship Id="rId4" Type="http://schemas.openxmlformats.org/officeDocument/2006/relationships/hyperlink" Target="mailto:+F15-@sum(F5:F13)" TargetMode="External" /><Relationship Id="rId5" Type="http://schemas.openxmlformats.org/officeDocument/2006/relationships/hyperlink" Target="mailto:+G15-@sum(G5:G12)" TargetMode="Externa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+C15-@sum(C5:C13)" TargetMode="External" /><Relationship Id="rId2" Type="http://schemas.openxmlformats.org/officeDocument/2006/relationships/hyperlink" Target="mailto:+D15-@sum(D5:D12)" TargetMode="External" /><Relationship Id="rId3" Type="http://schemas.openxmlformats.org/officeDocument/2006/relationships/hyperlink" Target="mailto:+E15-@sum(E5:E13)" TargetMode="External" /><Relationship Id="rId4" Type="http://schemas.openxmlformats.org/officeDocument/2006/relationships/hyperlink" Target="mailto:+F15-@sum(F5:F13)" TargetMode="External" /><Relationship Id="rId5" Type="http://schemas.openxmlformats.org/officeDocument/2006/relationships/hyperlink" Target="mailto:+G15-@sum(G5:G12)" TargetMode="External" /><Relationship Id="rId6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11"/>
  <sheetViews>
    <sheetView zoomScalePageLayoutView="0" workbookViewId="0" topLeftCell="A1">
      <selection activeCell="B3" sqref="B3:M11"/>
    </sheetView>
  </sheetViews>
  <sheetFormatPr defaultColWidth="9.140625" defaultRowHeight="12.75"/>
  <cols>
    <col min="2" max="2" width="25.7109375" style="0" customWidth="1"/>
    <col min="3" max="3" width="13.7109375" style="0" customWidth="1"/>
    <col min="4" max="4" width="11.8515625" style="0" customWidth="1"/>
    <col min="5" max="5" width="15.140625" style="0" customWidth="1"/>
  </cols>
  <sheetData>
    <row r="3" spans="2:13" ht="12.75">
      <c r="B3" s="76" t="s">
        <v>88</v>
      </c>
      <c r="C3" s="76" t="s">
        <v>73</v>
      </c>
      <c r="D3" s="76" t="s">
        <v>74</v>
      </c>
      <c r="E3" s="76" t="s">
        <v>75</v>
      </c>
      <c r="F3" s="76" t="s">
        <v>76</v>
      </c>
      <c r="G3" s="76" t="s">
        <v>77</v>
      </c>
      <c r="H3" s="76" t="s">
        <v>89</v>
      </c>
      <c r="I3" s="76" t="s">
        <v>73</v>
      </c>
      <c r="J3" s="76" t="s">
        <v>74</v>
      </c>
      <c r="K3" s="76" t="s">
        <v>75</v>
      </c>
      <c r="L3" s="76" t="s">
        <v>76</v>
      </c>
      <c r="M3" s="76" t="s">
        <v>77</v>
      </c>
    </row>
    <row r="5" spans="2:9" ht="12.75">
      <c r="B5" t="s">
        <v>90</v>
      </c>
      <c r="C5">
        <v>200000</v>
      </c>
      <c r="D5" t="e">
        <f>+C7</f>
        <v>#REF!</v>
      </c>
      <c r="E5" t="e">
        <f>+D7</f>
        <v>#REF!</v>
      </c>
      <c r="F5" t="e">
        <f>+E7</f>
        <v>#REF!</v>
      </c>
      <c r="G5" t="e">
        <f>+F7</f>
        <v>#REF!</v>
      </c>
      <c r="H5" t="s">
        <v>92</v>
      </c>
      <c r="I5">
        <v>1200000</v>
      </c>
    </row>
    <row r="6" spans="2:9" ht="12.75">
      <c r="B6" t="s">
        <v>96</v>
      </c>
      <c r="C6" t="e">
        <f>+#REF!</f>
        <v>#REF!</v>
      </c>
      <c r="D6" t="e">
        <f>+#REF!</f>
        <v>#REF!</v>
      </c>
      <c r="E6" t="e">
        <f>+#REF!</f>
        <v>#REF!</v>
      </c>
      <c r="F6" t="e">
        <f>+#REF!</f>
        <v>#REF!</v>
      </c>
      <c r="G6" t="e">
        <f>+#REF!</f>
        <v>#REF!</v>
      </c>
      <c r="H6" t="s">
        <v>93</v>
      </c>
      <c r="I6">
        <v>45000</v>
      </c>
    </row>
    <row r="7" spans="3:9" ht="12.75">
      <c r="C7" t="e">
        <f>+C5+C6</f>
        <v>#REF!</v>
      </c>
      <c r="D7" t="e">
        <f>+D5+D6</f>
        <v>#REF!</v>
      </c>
      <c r="E7" t="e">
        <f>+E5+E6</f>
        <v>#REF!</v>
      </c>
      <c r="F7" t="e">
        <f>+F5+F6</f>
        <v>#REF!</v>
      </c>
      <c r="G7" t="e">
        <f>+G5+G6</f>
        <v>#REF!</v>
      </c>
      <c r="H7" t="s">
        <v>94</v>
      </c>
      <c r="I7">
        <v>200000</v>
      </c>
    </row>
    <row r="8" spans="8:9" ht="12.75">
      <c r="H8" t="s">
        <v>95</v>
      </c>
      <c r="I8">
        <v>33000</v>
      </c>
    </row>
    <row r="9" spans="2:7" ht="12.75">
      <c r="B9" t="s">
        <v>91</v>
      </c>
      <c r="C9">
        <v>800000</v>
      </c>
      <c r="D9">
        <f>+C9-200000</f>
        <v>600000</v>
      </c>
      <c r="E9">
        <v>400000</v>
      </c>
      <c r="F9">
        <v>200000</v>
      </c>
      <c r="G9">
        <v>0</v>
      </c>
    </row>
    <row r="11" spans="2:13" ht="12.75">
      <c r="B11" s="76"/>
      <c r="C11" s="76" t="e">
        <f>SUM(C5:C10)</f>
        <v>#REF!</v>
      </c>
      <c r="D11" s="76" t="e">
        <f>SUM(D5:D10)</f>
        <v>#REF!</v>
      </c>
      <c r="E11" s="76" t="e">
        <f>SUM(E5:E10)</f>
        <v>#REF!</v>
      </c>
      <c r="F11" s="76" t="e">
        <f>SUM(F5:F10)</f>
        <v>#REF!</v>
      </c>
      <c r="G11" s="76" t="e">
        <f>SUM(G5:G10)</f>
        <v>#REF!</v>
      </c>
      <c r="H11" s="76"/>
      <c r="I11" s="76">
        <f>SUM(I5:I10)</f>
        <v>1478000</v>
      </c>
      <c r="J11" s="76">
        <f>SUM(J5:J10)</f>
        <v>0</v>
      </c>
      <c r="K11" s="76">
        <f>SUM(K5:K10)</f>
        <v>0</v>
      </c>
      <c r="L11" s="76">
        <f>SUM(L5:L10)</f>
        <v>0</v>
      </c>
      <c r="M11" s="76">
        <f>SUM(M5:M10)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7"/>
  <sheetViews>
    <sheetView view="pageBreakPreview" zoomScale="60" zoomScalePageLayoutView="0" workbookViewId="0" topLeftCell="A1">
      <selection activeCell="Q22" sqref="Q22"/>
    </sheetView>
  </sheetViews>
  <sheetFormatPr defaultColWidth="9.140625" defaultRowHeight="12.75"/>
  <cols>
    <col min="1" max="1" width="25.140625" style="96" customWidth="1"/>
    <col min="2" max="2" width="11.7109375" style="0" customWidth="1"/>
    <col min="3" max="3" width="11.00390625" style="0" customWidth="1"/>
    <col min="4" max="4" width="11.7109375" style="0" customWidth="1"/>
    <col min="5" max="5" width="11.421875" style="0" customWidth="1"/>
    <col min="6" max="6" width="10.57421875" style="0" bestFit="1" customWidth="1"/>
    <col min="7" max="7" width="13.00390625" style="96" customWidth="1"/>
    <col min="8" max="8" width="11.57421875" style="0" customWidth="1"/>
    <col min="9" max="9" width="11.00390625" style="0" customWidth="1"/>
    <col min="10" max="10" width="11.7109375" style="0" customWidth="1"/>
    <col min="11" max="11" width="12.7109375" style="0" customWidth="1"/>
    <col min="12" max="12" width="13.8515625" style="0" customWidth="1"/>
  </cols>
  <sheetData>
    <row r="1" spans="1:12" ht="26.25">
      <c r="A1" s="120" t="s">
        <v>139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12.75">
      <c r="A2" s="121" t="s">
        <v>140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12.75">
      <c r="A3" s="94"/>
      <c r="B3" s="76" t="s">
        <v>73</v>
      </c>
      <c r="C3" s="76" t="s">
        <v>74</v>
      </c>
      <c r="D3" s="76" t="s">
        <v>75</v>
      </c>
      <c r="E3" s="76" t="s">
        <v>76</v>
      </c>
      <c r="F3" s="76" t="s">
        <v>77</v>
      </c>
      <c r="G3" s="94"/>
      <c r="H3" s="76" t="s">
        <v>73</v>
      </c>
      <c r="I3" s="76" t="s">
        <v>74</v>
      </c>
      <c r="J3" s="76" t="s">
        <v>75</v>
      </c>
      <c r="K3" s="76" t="s">
        <v>76</v>
      </c>
      <c r="L3" s="76" t="s">
        <v>77</v>
      </c>
    </row>
    <row r="4" spans="1:12" ht="12.75">
      <c r="A4" s="95" t="s">
        <v>86</v>
      </c>
      <c r="B4" s="82"/>
      <c r="C4" s="82"/>
      <c r="D4" s="82"/>
      <c r="E4" s="82"/>
      <c r="F4" s="82"/>
      <c r="G4" s="95" t="s">
        <v>87</v>
      </c>
      <c r="H4" s="82"/>
      <c r="I4" s="82"/>
      <c r="J4" s="82"/>
      <c r="K4" s="82"/>
      <c r="L4" s="82"/>
    </row>
    <row r="5" spans="1:12" ht="25.5">
      <c r="A5" s="96" t="s">
        <v>78</v>
      </c>
      <c r="B5">
        <f>+E74</f>
        <v>480000</v>
      </c>
      <c r="C5">
        <f>+B5*1.05</f>
        <v>504000</v>
      </c>
      <c r="D5">
        <f aca="true" t="shared" si="0" ref="D5:F6">+C5*1.05</f>
        <v>529200</v>
      </c>
      <c r="E5">
        <f t="shared" si="0"/>
        <v>555660</v>
      </c>
      <c r="F5">
        <f t="shared" si="0"/>
        <v>583443</v>
      </c>
      <c r="G5" s="96" t="s">
        <v>85</v>
      </c>
      <c r="H5">
        <f>+D66</f>
        <v>1782720</v>
      </c>
      <c r="I5">
        <f>+H5</f>
        <v>1782720</v>
      </c>
      <c r="J5">
        <f>+I5</f>
        <v>1782720</v>
      </c>
      <c r="K5">
        <f>+J5</f>
        <v>1782720</v>
      </c>
      <c r="L5">
        <f>+K5</f>
        <v>1782720</v>
      </c>
    </row>
    <row r="6" spans="1:6" ht="12.75">
      <c r="A6" s="96" t="s">
        <v>79</v>
      </c>
      <c r="B6">
        <v>120000</v>
      </c>
      <c r="C6">
        <f>+B6*1.05</f>
        <v>126000</v>
      </c>
      <c r="D6">
        <f t="shared" si="0"/>
        <v>132300</v>
      </c>
      <c r="E6">
        <f t="shared" si="0"/>
        <v>138915</v>
      </c>
      <c r="F6">
        <f t="shared" si="0"/>
        <v>145860.75</v>
      </c>
    </row>
    <row r="7" spans="1:6" ht="12.75">
      <c r="A7" s="96" t="s">
        <v>80</v>
      </c>
      <c r="B7">
        <f>+E76</f>
        <v>144000</v>
      </c>
      <c r="C7">
        <f aca="true" t="shared" si="1" ref="C7:F10">+B7*1.05</f>
        <v>151200</v>
      </c>
      <c r="D7">
        <f t="shared" si="1"/>
        <v>158760</v>
      </c>
      <c r="E7">
        <f t="shared" si="1"/>
        <v>166698</v>
      </c>
      <c r="F7">
        <f t="shared" si="1"/>
        <v>175032.9</v>
      </c>
    </row>
    <row r="8" spans="1:6" ht="12.75">
      <c r="A8" s="96" t="s">
        <v>81</v>
      </c>
      <c r="B8">
        <v>60000</v>
      </c>
      <c r="C8">
        <f t="shared" si="1"/>
        <v>63000</v>
      </c>
      <c r="D8">
        <f t="shared" si="1"/>
        <v>66150</v>
      </c>
      <c r="E8">
        <f t="shared" si="1"/>
        <v>69457.5</v>
      </c>
      <c r="F8">
        <f t="shared" si="1"/>
        <v>72930.375</v>
      </c>
    </row>
    <row r="9" spans="1:6" ht="25.5">
      <c r="A9" s="96" t="s">
        <v>82</v>
      </c>
      <c r="B9">
        <v>60000</v>
      </c>
      <c r="C9">
        <f t="shared" si="1"/>
        <v>63000</v>
      </c>
      <c r="D9">
        <f t="shared" si="1"/>
        <v>66150</v>
      </c>
      <c r="E9">
        <f t="shared" si="1"/>
        <v>69457.5</v>
      </c>
      <c r="F9">
        <f t="shared" si="1"/>
        <v>72930.375</v>
      </c>
    </row>
    <row r="10" spans="1:6" ht="12.75">
      <c r="A10" s="96" t="s">
        <v>41</v>
      </c>
      <c r="B10">
        <f>+E77</f>
        <v>72000</v>
      </c>
      <c r="C10">
        <f t="shared" si="1"/>
        <v>75600</v>
      </c>
      <c r="D10">
        <f t="shared" si="1"/>
        <v>79380</v>
      </c>
      <c r="E10">
        <f t="shared" si="1"/>
        <v>83349</v>
      </c>
      <c r="F10">
        <f t="shared" si="1"/>
        <v>87516.45</v>
      </c>
    </row>
    <row r="11" spans="1:6" ht="12.75">
      <c r="A11" s="96" t="s">
        <v>113</v>
      </c>
      <c r="C11">
        <v>25000</v>
      </c>
      <c r="D11">
        <v>50000</v>
      </c>
      <c r="E11">
        <v>50000</v>
      </c>
      <c r="F11">
        <v>50000</v>
      </c>
    </row>
    <row r="12" spans="1:6" ht="12.75">
      <c r="A12" s="96" t="s">
        <v>5</v>
      </c>
      <c r="B12" s="117">
        <f>+H21*0.25</f>
        <v>337750</v>
      </c>
      <c r="C12" s="117">
        <f>+H23*0.25</f>
        <v>253312.5</v>
      </c>
      <c r="D12" s="117">
        <f>+I23*0.25</f>
        <v>189984.375</v>
      </c>
      <c r="E12" s="117">
        <f>+J23*0.25</f>
        <v>142488.28125</v>
      </c>
      <c r="F12" s="117">
        <f>+K23*0.25</f>
        <v>106866.2109375</v>
      </c>
    </row>
    <row r="13" spans="1:6" ht="12.75">
      <c r="A13" s="96" t="s">
        <v>83</v>
      </c>
      <c r="B13">
        <f>+F92</f>
        <v>115500</v>
      </c>
      <c r="C13">
        <f>+F98</f>
        <v>93000</v>
      </c>
      <c r="D13">
        <f>+F104</f>
        <v>69000</v>
      </c>
      <c r="E13">
        <f>+F110</f>
        <v>45000</v>
      </c>
      <c r="F13">
        <f>+F116</f>
        <v>21000</v>
      </c>
    </row>
    <row r="15" spans="1:6" ht="12.75">
      <c r="A15" s="96" t="s">
        <v>84</v>
      </c>
      <c r="B15" s="71">
        <f>+B16-SUM(B5:B14)</f>
        <v>393470</v>
      </c>
      <c r="C15" s="71">
        <f>+C16-SUM(C5:C13)</f>
        <v>428607.5</v>
      </c>
      <c r="D15" s="71">
        <f>+D16-SUM(D5:D14)</f>
        <v>441795.625</v>
      </c>
      <c r="E15" s="71">
        <f>+E16-SUM(E5:E14)</f>
        <v>461694.71875</v>
      </c>
      <c r="F15" s="71">
        <f>+F16-SUM(F5:F14)</f>
        <v>467139.93906250014</v>
      </c>
    </row>
    <row r="16" spans="2:12" ht="12.75">
      <c r="B16" s="63">
        <f>+H16</f>
        <v>1782720</v>
      </c>
      <c r="C16" s="63">
        <f>+I16</f>
        <v>1782720</v>
      </c>
      <c r="D16" s="63">
        <f>+J16</f>
        <v>1782720</v>
      </c>
      <c r="E16" s="63">
        <f>+K16</f>
        <v>1782720</v>
      </c>
      <c r="F16" s="63">
        <f>+L16</f>
        <v>1782720</v>
      </c>
      <c r="G16" s="73"/>
      <c r="H16" s="63">
        <f>SUM(H5:H14)</f>
        <v>1782720</v>
      </c>
      <c r="I16" s="63">
        <f>SUM(I5:I14)</f>
        <v>1782720</v>
      </c>
      <c r="J16" s="63">
        <f>SUM(J5:J14)</f>
        <v>1782720</v>
      </c>
      <c r="K16" s="63">
        <f>SUM(K5:K14)</f>
        <v>1782720</v>
      </c>
      <c r="L16" s="63">
        <f>SUM(L5:L14)</f>
        <v>1782720</v>
      </c>
    </row>
    <row r="18" spans="1:12" ht="12.75">
      <c r="A18" s="122" t="s">
        <v>141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</row>
    <row r="19" spans="1:12" ht="12.75">
      <c r="A19" s="94" t="s">
        <v>88</v>
      </c>
      <c r="B19" s="76" t="s">
        <v>73</v>
      </c>
      <c r="C19" s="76" t="s">
        <v>74</v>
      </c>
      <c r="D19" s="76" t="s">
        <v>75</v>
      </c>
      <c r="E19" s="76" t="s">
        <v>76</v>
      </c>
      <c r="F19" s="76" t="s">
        <v>77</v>
      </c>
      <c r="G19" s="94" t="s">
        <v>89</v>
      </c>
      <c r="H19" s="76" t="s">
        <v>73</v>
      </c>
      <c r="I19" s="76" t="s">
        <v>74</v>
      </c>
      <c r="J19" s="76" t="s">
        <v>75</v>
      </c>
      <c r="K19" s="76" t="s">
        <v>76</v>
      </c>
      <c r="L19" s="76" t="s">
        <v>77</v>
      </c>
    </row>
    <row r="21" spans="1:12" ht="25.5">
      <c r="A21" s="97" t="s">
        <v>90</v>
      </c>
      <c r="B21">
        <v>500000</v>
      </c>
      <c r="C21">
        <f>+B25</f>
        <v>893470</v>
      </c>
      <c r="D21">
        <f>+C25</f>
        <v>1322077.5</v>
      </c>
      <c r="E21">
        <f>+D25</f>
        <v>1763873.125</v>
      </c>
      <c r="F21">
        <f>+E25</f>
        <v>2225567.84375</v>
      </c>
      <c r="G21" s="97" t="s">
        <v>92</v>
      </c>
      <c r="H21">
        <f>+C147</f>
        <v>1351000</v>
      </c>
      <c r="I21">
        <f>+H21</f>
        <v>1351000</v>
      </c>
      <c r="J21">
        <f>+I21</f>
        <v>1351000</v>
      </c>
      <c r="K21">
        <f>+J21</f>
        <v>1351000</v>
      </c>
      <c r="L21">
        <f>+K21</f>
        <v>1351000</v>
      </c>
    </row>
    <row r="22" spans="1:12" ht="26.25" thickBot="1">
      <c r="A22" s="97"/>
      <c r="G22" s="97" t="s">
        <v>112</v>
      </c>
      <c r="H22" s="78">
        <f>+B12</f>
        <v>337750</v>
      </c>
      <c r="I22" s="78">
        <f>+C12+H22</f>
        <v>591062.5</v>
      </c>
      <c r="J22" s="78">
        <f>+I22+D12</f>
        <v>781046.875</v>
      </c>
      <c r="K22" s="78">
        <f>+J22+E12</f>
        <v>923535.15625</v>
      </c>
      <c r="L22" s="78">
        <f>+K22+F12</f>
        <v>1030401.3671875</v>
      </c>
    </row>
    <row r="23" spans="1:12" ht="12.75">
      <c r="A23" s="97"/>
      <c r="G23" s="97"/>
      <c r="H23">
        <f>+H21-H22</f>
        <v>1013250</v>
      </c>
      <c r="I23">
        <f>+I21-I22</f>
        <v>759937.5</v>
      </c>
      <c r="J23">
        <f>+J21-J22</f>
        <v>569953.125</v>
      </c>
      <c r="K23">
        <f>+K21-K22</f>
        <v>427464.84375</v>
      </c>
      <c r="L23">
        <f>+L21-L22</f>
        <v>320598.6328125</v>
      </c>
    </row>
    <row r="24" spans="1:12" ht="39" thickBot="1">
      <c r="A24" s="97" t="s">
        <v>96</v>
      </c>
      <c r="B24" s="80">
        <f>+B15</f>
        <v>393470</v>
      </c>
      <c r="C24" s="80">
        <f>+C15</f>
        <v>428607.5</v>
      </c>
      <c r="D24" s="80">
        <f>+D15</f>
        <v>441795.625</v>
      </c>
      <c r="E24" s="80">
        <f>+E15</f>
        <v>461694.71875</v>
      </c>
      <c r="F24" s="80">
        <f>+F15</f>
        <v>467139.93906250014</v>
      </c>
      <c r="G24" s="97" t="s">
        <v>93</v>
      </c>
      <c r="H24">
        <v>45000</v>
      </c>
      <c r="I24">
        <v>45000</v>
      </c>
      <c r="J24">
        <v>45000</v>
      </c>
      <c r="K24">
        <v>45000</v>
      </c>
      <c r="L24">
        <v>45000</v>
      </c>
    </row>
    <row r="25" spans="1:12" ht="38.25">
      <c r="A25" s="97"/>
      <c r="B25" s="117">
        <f>+B21+B24</f>
        <v>893470</v>
      </c>
      <c r="C25" s="117">
        <f>+C21+C24</f>
        <v>1322077.5</v>
      </c>
      <c r="D25" s="117">
        <f>+D21+D24</f>
        <v>1763873.125</v>
      </c>
      <c r="E25" s="117">
        <f>+E21+E24</f>
        <v>2225567.84375</v>
      </c>
      <c r="F25" s="117">
        <f>+F21+F24</f>
        <v>2692707.7828125004</v>
      </c>
      <c r="G25" s="97" t="s">
        <v>105</v>
      </c>
      <c r="H25">
        <f>+H29-H23-H24</f>
        <v>735220</v>
      </c>
      <c r="I25">
        <f>+I29-I23-I24</f>
        <v>1217140</v>
      </c>
      <c r="J25">
        <f>+J29-J23-J24</f>
        <v>1648920</v>
      </c>
      <c r="K25">
        <f>+K29-K23-K24</f>
        <v>2053103</v>
      </c>
      <c r="L25">
        <f>+L29-L23-L24</f>
        <v>2427109.1500000004</v>
      </c>
    </row>
    <row r="26" spans="1:7" ht="12.75">
      <c r="A26" s="97"/>
      <c r="G26" s="97"/>
    </row>
    <row r="27" spans="1:6" ht="12.75">
      <c r="A27" s="97" t="s">
        <v>91</v>
      </c>
      <c r="B27">
        <f>+D92</f>
        <v>900000</v>
      </c>
      <c r="C27">
        <f>+D98</f>
        <v>700000</v>
      </c>
      <c r="D27">
        <f>+D104</f>
        <v>500000</v>
      </c>
      <c r="E27">
        <f>+D110</f>
        <v>300000</v>
      </c>
      <c r="F27">
        <f>+D116</f>
        <v>100000</v>
      </c>
    </row>
    <row r="29" spans="1:12" ht="12.75">
      <c r="A29" s="94"/>
      <c r="B29" s="118">
        <f>+B27+B25</f>
        <v>1793470</v>
      </c>
      <c r="C29" s="118">
        <f>+C27+C25</f>
        <v>2022077.5</v>
      </c>
      <c r="D29" s="118">
        <f>+D27+D25</f>
        <v>2263873.125</v>
      </c>
      <c r="E29" s="118">
        <f>+E27+E25</f>
        <v>2525567.84375</v>
      </c>
      <c r="F29" s="118">
        <f>+F27+F25</f>
        <v>2792707.7828125004</v>
      </c>
      <c r="G29" s="119"/>
      <c r="H29" s="118">
        <f>+B29</f>
        <v>1793470</v>
      </c>
      <c r="I29" s="118">
        <f>+C29</f>
        <v>2022077.5</v>
      </c>
      <c r="J29" s="118">
        <f>+D29</f>
        <v>2263873.125</v>
      </c>
      <c r="K29" s="118">
        <f>+E29</f>
        <v>2525567.84375</v>
      </c>
      <c r="L29" s="118">
        <f>+F29</f>
        <v>2792707.7828125004</v>
      </c>
    </row>
    <row r="30" spans="1:12" ht="12.75">
      <c r="A30" s="98"/>
      <c r="B30" s="77"/>
      <c r="C30" s="77"/>
      <c r="D30" s="77"/>
      <c r="E30" s="77"/>
      <c r="F30" s="77"/>
      <c r="G30" s="98"/>
      <c r="H30" s="77"/>
      <c r="I30" s="77"/>
      <c r="J30" s="77"/>
      <c r="K30" s="77"/>
      <c r="L30" s="77"/>
    </row>
    <row r="31" spans="1:12" ht="12.75">
      <c r="A31" s="98"/>
      <c r="B31" s="77"/>
      <c r="C31" s="77"/>
      <c r="D31" s="77"/>
      <c r="E31" s="77"/>
      <c r="F31" s="77"/>
      <c r="G31" s="98"/>
      <c r="H31" s="77"/>
      <c r="I31" s="77"/>
      <c r="J31" s="77"/>
      <c r="K31" s="77"/>
      <c r="L31" s="77"/>
    </row>
    <row r="32" spans="1:12" ht="12.75">
      <c r="A32" s="98"/>
      <c r="B32" s="77"/>
      <c r="C32" s="77"/>
      <c r="D32" s="77"/>
      <c r="E32" s="77"/>
      <c r="F32" s="77"/>
      <c r="G32" s="98"/>
      <c r="H32" s="77"/>
      <c r="I32" s="77"/>
      <c r="J32" s="77"/>
      <c r="K32" s="77"/>
      <c r="L32" s="77"/>
    </row>
    <row r="33" spans="1:12" ht="12.75">
      <c r="A33" s="122" t="s">
        <v>142</v>
      </c>
      <c r="B33" s="122"/>
      <c r="C33" s="122"/>
      <c r="D33" s="122"/>
      <c r="E33" s="122"/>
      <c r="F33" s="122"/>
      <c r="G33" s="122"/>
      <c r="H33" s="123"/>
      <c r="I33" s="123"/>
      <c r="J33" s="123"/>
      <c r="K33" s="123"/>
      <c r="L33" s="123"/>
    </row>
    <row r="34" spans="1:12" ht="12.75">
      <c r="A34" s="99" t="s">
        <v>106</v>
      </c>
      <c r="B34" s="90" t="s">
        <v>121</v>
      </c>
      <c r="C34" s="84" t="s">
        <v>73</v>
      </c>
      <c r="D34" s="76" t="s">
        <v>74</v>
      </c>
      <c r="E34" s="76" t="s">
        <v>75</v>
      </c>
      <c r="F34" s="79" t="s">
        <v>76</v>
      </c>
      <c r="G34" s="113" t="s">
        <v>77</v>
      </c>
      <c r="H34" s="77"/>
      <c r="I34" s="77"/>
      <c r="J34" s="77"/>
      <c r="K34" s="77"/>
      <c r="L34" s="77"/>
    </row>
    <row r="35" spans="2:12" ht="12.75">
      <c r="B35" s="63"/>
      <c r="C35" s="63"/>
      <c r="D35" s="63"/>
      <c r="E35" s="63"/>
      <c r="F35" s="63"/>
      <c r="G35" s="73"/>
      <c r="H35" s="77"/>
      <c r="I35" s="77"/>
      <c r="J35" s="77"/>
      <c r="K35" s="77"/>
      <c r="L35" s="77"/>
    </row>
    <row r="36" spans="1:12" ht="25.5">
      <c r="A36" s="96" t="s">
        <v>111</v>
      </c>
      <c r="B36" s="63"/>
      <c r="C36" s="63"/>
      <c r="D36" s="63">
        <f>+C53</f>
        <v>735220</v>
      </c>
      <c r="E36" s="63">
        <f>+D53</f>
        <v>1217140</v>
      </c>
      <c r="F36" s="63">
        <f>+E53</f>
        <v>1648920</v>
      </c>
      <c r="G36" s="114">
        <f>+F53</f>
        <v>2053103</v>
      </c>
      <c r="H36" s="77"/>
      <c r="I36" s="77"/>
      <c r="J36" s="77"/>
      <c r="K36" s="77"/>
      <c r="L36" s="77"/>
    </row>
    <row r="37" spans="1:12" ht="12.75">
      <c r="A37" s="96" t="s">
        <v>90</v>
      </c>
      <c r="B37" s="63">
        <v>500000</v>
      </c>
      <c r="C37" s="63">
        <f>+B21</f>
        <v>500000</v>
      </c>
      <c r="D37" s="63"/>
      <c r="E37" s="63"/>
      <c r="F37" s="63"/>
      <c r="G37" s="114"/>
      <c r="H37" s="77"/>
      <c r="I37" s="77"/>
      <c r="J37" s="77"/>
      <c r="K37" s="77"/>
      <c r="L37" s="77"/>
    </row>
    <row r="38" spans="1:12" ht="12.75">
      <c r="A38" s="96" t="s">
        <v>108</v>
      </c>
      <c r="B38" s="63"/>
      <c r="C38" s="63">
        <f>+H5</f>
        <v>1782720</v>
      </c>
      <c r="D38" s="63">
        <f>+I5</f>
        <v>1782720</v>
      </c>
      <c r="E38" s="63">
        <f>+J5</f>
        <v>1782720</v>
      </c>
      <c r="F38" s="63">
        <f>+K5</f>
        <v>1782720</v>
      </c>
      <c r="G38" s="114">
        <f>+L5</f>
        <v>1782720</v>
      </c>
      <c r="H38" s="77"/>
      <c r="I38" s="77"/>
      <c r="J38" s="77"/>
      <c r="K38" s="77"/>
      <c r="L38" s="77"/>
    </row>
    <row r="39" spans="2:12" ht="12.75">
      <c r="B39" s="63"/>
      <c r="C39" s="63"/>
      <c r="D39" s="63"/>
      <c r="E39" s="63"/>
      <c r="F39" s="63"/>
      <c r="G39" s="114"/>
      <c r="H39" s="77"/>
      <c r="I39" s="77"/>
      <c r="J39" s="77"/>
      <c r="K39" s="77"/>
      <c r="L39" s="77"/>
    </row>
    <row r="40" spans="2:12" ht="12.75">
      <c r="B40" s="63"/>
      <c r="C40" s="63"/>
      <c r="D40" s="63"/>
      <c r="E40" s="63"/>
      <c r="F40" s="63"/>
      <c r="G40" s="114"/>
      <c r="H40" s="77"/>
      <c r="I40" s="77"/>
      <c r="J40" s="77"/>
      <c r="K40" s="77"/>
      <c r="L40" s="77"/>
    </row>
    <row r="41" spans="1:12" ht="12.75">
      <c r="A41" s="96" t="s">
        <v>91</v>
      </c>
      <c r="B41" s="63">
        <v>1000000</v>
      </c>
      <c r="C41" s="63">
        <f>+B41</f>
        <v>1000000</v>
      </c>
      <c r="D41" s="63"/>
      <c r="E41" s="63"/>
      <c r="F41" s="63"/>
      <c r="G41" s="114"/>
      <c r="H41" s="77"/>
      <c r="I41" s="77"/>
      <c r="J41" s="77"/>
      <c r="K41" s="77"/>
      <c r="L41" s="77"/>
    </row>
    <row r="42" spans="2:12" ht="12.75">
      <c r="B42" s="63"/>
      <c r="C42" s="63"/>
      <c r="D42" s="63"/>
      <c r="E42" s="63"/>
      <c r="F42" s="63"/>
      <c r="G42" s="114"/>
      <c r="H42" s="77"/>
      <c r="I42" s="77"/>
      <c r="J42" s="77"/>
      <c r="K42" s="77"/>
      <c r="L42" s="77"/>
    </row>
    <row r="43" spans="1:12" ht="12.75">
      <c r="A43" s="99"/>
      <c r="B43" s="76">
        <f>+B37+B41</f>
        <v>1500000</v>
      </c>
      <c r="C43" s="76">
        <f>SUM(C37:C42)</f>
        <v>3282720</v>
      </c>
      <c r="D43" s="76">
        <f>SUM(D36:D42)</f>
        <v>2517940</v>
      </c>
      <c r="E43" s="76">
        <f>SUM(E36:E42)</f>
        <v>2999860</v>
      </c>
      <c r="F43" s="76">
        <f>SUM(F36:F42)</f>
        <v>3431640</v>
      </c>
      <c r="G43" s="113">
        <f>SUM(G36:G42)</f>
        <v>3835823</v>
      </c>
      <c r="H43" s="77"/>
      <c r="I43" s="77"/>
      <c r="J43" s="77"/>
      <c r="K43" s="77"/>
      <c r="L43" s="77"/>
    </row>
    <row r="44" spans="1:12" ht="12.75">
      <c r="A44" s="99" t="s">
        <v>107</v>
      </c>
      <c r="B44" s="76"/>
      <c r="C44" s="76"/>
      <c r="D44" s="76"/>
      <c r="E44" s="76"/>
      <c r="F44" s="76"/>
      <c r="G44" s="113"/>
      <c r="H44" s="77"/>
      <c r="I44" s="77"/>
      <c r="J44" s="77"/>
      <c r="K44" s="77"/>
      <c r="L44" s="77"/>
    </row>
    <row r="45" spans="2:12" ht="12.75">
      <c r="B45" s="63"/>
      <c r="C45" s="63"/>
      <c r="D45" s="63"/>
      <c r="E45" s="63"/>
      <c r="F45" s="63"/>
      <c r="G45" s="114"/>
      <c r="H45" s="77"/>
      <c r="I45" s="77"/>
      <c r="J45" s="77"/>
      <c r="K45" s="77"/>
      <c r="L45" s="77"/>
    </row>
    <row r="46" spans="1:12" ht="12.75">
      <c r="A46" s="96" t="s">
        <v>109</v>
      </c>
      <c r="B46" s="63"/>
      <c r="C46" s="63">
        <f>+C91+C92</f>
        <v>100000</v>
      </c>
      <c r="D46" s="63">
        <f>+C95+C96+C97+C98</f>
        <v>200000</v>
      </c>
      <c r="E46" s="63">
        <f>+C101+C102+C103+C104</f>
        <v>200000</v>
      </c>
      <c r="F46">
        <f>+C107+C108+C109+C110</f>
        <v>200000</v>
      </c>
      <c r="G46" s="114">
        <f>+C113+C114+C115+C116</f>
        <v>200000</v>
      </c>
      <c r="H46" s="77"/>
      <c r="I46" s="77"/>
      <c r="J46" s="77"/>
      <c r="K46" s="77"/>
      <c r="L46" s="77"/>
    </row>
    <row r="47" spans="1:12" ht="12.75">
      <c r="A47" s="96" t="s">
        <v>92</v>
      </c>
      <c r="B47" s="63">
        <f>+H21</f>
        <v>1351000</v>
      </c>
      <c r="C47" s="63">
        <f>+B47</f>
        <v>1351000</v>
      </c>
      <c r="D47" s="63">
        <f>+H21-I21</f>
        <v>0</v>
      </c>
      <c r="E47" s="63">
        <f>+I21-J21</f>
        <v>0</v>
      </c>
      <c r="F47" s="63">
        <f>+J21-K21</f>
        <v>0</v>
      </c>
      <c r="G47" s="114">
        <f>+K21-L21</f>
        <v>0</v>
      </c>
      <c r="H47" s="77"/>
      <c r="I47" s="77"/>
      <c r="J47" s="77"/>
      <c r="K47" s="77"/>
      <c r="L47" s="77"/>
    </row>
    <row r="48" spans="1:12" ht="25.5">
      <c r="A48" s="96" t="str">
        <f>+G24</f>
        <v>DEPOSITS WITH LANDLORD</v>
      </c>
      <c r="B48" s="63">
        <v>45000</v>
      </c>
      <c r="C48" s="63">
        <f>+H24</f>
        <v>45000</v>
      </c>
      <c r="D48" s="63">
        <f>+C48-I24</f>
        <v>0</v>
      </c>
      <c r="E48" s="63">
        <f>+J24-I24</f>
        <v>0</v>
      </c>
      <c r="F48" s="63">
        <f>+K24-J24</f>
        <v>0</v>
      </c>
      <c r="G48" s="114">
        <f>+L24-K24</f>
        <v>0</v>
      </c>
      <c r="H48" s="77"/>
      <c r="I48" s="77"/>
      <c r="J48" s="77"/>
      <c r="K48" s="77"/>
      <c r="L48" s="77"/>
    </row>
    <row r="49" spans="1:12" ht="12.75">
      <c r="A49" s="96" t="s">
        <v>110</v>
      </c>
      <c r="B49" s="63"/>
      <c r="C49" s="63">
        <f>SUM(B5:B13)-B12</f>
        <v>1051500</v>
      </c>
      <c r="D49" s="63">
        <f>SUM(C5:C13)-C12</f>
        <v>1100800</v>
      </c>
      <c r="E49" s="63">
        <f>SUM(D5:D13)-D12</f>
        <v>1150940</v>
      </c>
      <c r="F49" s="63">
        <f>SUM(E5:E13)-E12</f>
        <v>1178537</v>
      </c>
      <c r="G49" s="114">
        <f>SUM(F5:F13)-F12</f>
        <v>1208713.8499999999</v>
      </c>
      <c r="H49" s="77"/>
      <c r="I49" s="77"/>
      <c r="J49" s="77"/>
      <c r="K49" s="77"/>
      <c r="L49" s="77"/>
    </row>
    <row r="50" spans="2:12" ht="12.75">
      <c r="B50" s="63"/>
      <c r="C50" s="63"/>
      <c r="D50" s="63"/>
      <c r="E50" s="63"/>
      <c r="F50" s="63"/>
      <c r="G50" s="114"/>
      <c r="H50" s="77"/>
      <c r="I50" s="77"/>
      <c r="J50" s="77"/>
      <c r="K50" s="77"/>
      <c r="L50" s="77"/>
    </row>
    <row r="51" spans="2:12" ht="12.75">
      <c r="B51" s="63"/>
      <c r="C51" s="63"/>
      <c r="D51" s="63"/>
      <c r="E51" s="63"/>
      <c r="F51" s="63"/>
      <c r="G51" s="114"/>
      <c r="H51" s="77"/>
      <c r="I51" s="77"/>
      <c r="J51" s="77"/>
      <c r="K51" s="77"/>
      <c r="L51" s="77"/>
    </row>
    <row r="52" spans="1:12" ht="12.75">
      <c r="A52" s="99"/>
      <c r="B52" s="76">
        <f>+B47+B48</f>
        <v>1396000</v>
      </c>
      <c r="C52" s="76">
        <f>SUM(C46:C51)</f>
        <v>2547500</v>
      </c>
      <c r="D52" s="76">
        <f>SUM(D46:D51)</f>
        <v>1300800</v>
      </c>
      <c r="E52" s="76">
        <f>SUM(E46:E51)</f>
        <v>1350940</v>
      </c>
      <c r="F52" s="76">
        <f>SUM(F46:F51)</f>
        <v>1378537</v>
      </c>
      <c r="G52" s="113">
        <f>SUM(G46:G51)</f>
        <v>1408713.8499999999</v>
      </c>
      <c r="H52" s="77"/>
      <c r="I52" s="77"/>
      <c r="J52" s="77"/>
      <c r="K52" s="77"/>
      <c r="L52" s="77"/>
    </row>
    <row r="53" spans="1:12" ht="12.75">
      <c r="A53" s="96" t="s">
        <v>104</v>
      </c>
      <c r="B53" s="63">
        <f aca="true" t="shared" si="2" ref="B53:G53">+B43-B52</f>
        <v>104000</v>
      </c>
      <c r="C53" s="63">
        <f t="shared" si="2"/>
        <v>735220</v>
      </c>
      <c r="D53" s="63">
        <f t="shared" si="2"/>
        <v>1217140</v>
      </c>
      <c r="E53" s="63">
        <f t="shared" si="2"/>
        <v>1648920</v>
      </c>
      <c r="F53" s="63">
        <f t="shared" si="2"/>
        <v>2053103</v>
      </c>
      <c r="G53" s="114">
        <f t="shared" si="2"/>
        <v>2427109.1500000004</v>
      </c>
      <c r="H53" s="77"/>
      <c r="I53" s="77"/>
      <c r="J53" s="77"/>
      <c r="K53" s="77"/>
      <c r="L53" s="77"/>
    </row>
    <row r="54" spans="2:12" ht="12.75">
      <c r="B54" s="63"/>
      <c r="C54" s="63">
        <f>+H25</f>
        <v>735220</v>
      </c>
      <c r="D54" s="63">
        <f>+I25</f>
        <v>1217140</v>
      </c>
      <c r="E54" s="63">
        <f>+J25</f>
        <v>1648920</v>
      </c>
      <c r="F54" s="63">
        <f>+K25</f>
        <v>2053103</v>
      </c>
      <c r="G54" s="114">
        <f>+L25</f>
        <v>2427109.1500000004</v>
      </c>
      <c r="H54" s="77"/>
      <c r="I54" s="77"/>
      <c r="J54" s="77"/>
      <c r="K54" s="77"/>
      <c r="L54" s="77"/>
    </row>
    <row r="55" spans="2:12" ht="12.75">
      <c r="B55" s="63"/>
      <c r="C55" s="63">
        <f>+C53-C54</f>
        <v>0</v>
      </c>
      <c r="D55" s="63">
        <f>+D53-D54</f>
        <v>0</v>
      </c>
      <c r="E55" s="63">
        <f>+E53-E54</f>
        <v>0</v>
      </c>
      <c r="F55" s="63">
        <f>+F53-F54</f>
        <v>0</v>
      </c>
      <c r="G55" s="114">
        <f>+G53-G54</f>
        <v>0</v>
      </c>
      <c r="H55" s="58"/>
      <c r="I55" s="58"/>
      <c r="J55" s="58"/>
      <c r="K55" s="58"/>
      <c r="L55" s="58"/>
    </row>
    <row r="56" spans="1:7" ht="12.75">
      <c r="A56" s="96" t="s">
        <v>114</v>
      </c>
      <c r="B56" s="63"/>
      <c r="C56" s="63"/>
      <c r="D56" s="63"/>
      <c r="E56" s="63"/>
      <c r="F56" s="63"/>
      <c r="G56" s="73"/>
    </row>
    <row r="57" spans="2:7" ht="12.75">
      <c r="B57" s="63"/>
      <c r="C57" s="63"/>
      <c r="D57" s="63"/>
      <c r="E57" s="63"/>
      <c r="F57" s="63"/>
      <c r="G57" s="73"/>
    </row>
    <row r="58" spans="2:7" ht="12.75">
      <c r="B58" s="63"/>
      <c r="C58" s="63"/>
      <c r="D58" s="63"/>
      <c r="E58" s="63"/>
      <c r="F58" s="63"/>
      <c r="G58" s="73"/>
    </row>
    <row r="59" spans="1:7" ht="12.75">
      <c r="A59" s="100" t="s">
        <v>97</v>
      </c>
      <c r="B59" s="89"/>
      <c r="C59" s="89"/>
      <c r="D59" s="89"/>
      <c r="E59" s="89"/>
      <c r="F59" s="89"/>
      <c r="G59" s="115"/>
    </row>
    <row r="60" spans="1:7" ht="25.5">
      <c r="A60" s="101" t="s">
        <v>122</v>
      </c>
      <c r="B60" s="63"/>
      <c r="C60" s="85">
        <v>30.95</v>
      </c>
      <c r="D60" s="63" t="s">
        <v>98</v>
      </c>
      <c r="E60" s="63"/>
      <c r="F60" s="63"/>
      <c r="G60" s="73"/>
    </row>
    <row r="61" spans="1:7" ht="12.75">
      <c r="A61" s="74" t="s">
        <v>99</v>
      </c>
      <c r="B61" s="63"/>
      <c r="C61" s="85">
        <v>240</v>
      </c>
      <c r="D61" s="63">
        <v>240</v>
      </c>
      <c r="E61" s="63"/>
      <c r="F61" s="63"/>
      <c r="G61" s="73"/>
    </row>
    <row r="62" spans="1:7" ht="12.75">
      <c r="A62" s="74" t="s">
        <v>100</v>
      </c>
      <c r="B62" s="63"/>
      <c r="C62" s="85">
        <f>+C60*C61</f>
        <v>7428</v>
      </c>
      <c r="D62" s="63">
        <v>7428</v>
      </c>
      <c r="E62" s="63"/>
      <c r="F62" s="63"/>
      <c r="G62" s="73"/>
    </row>
    <row r="63" spans="1:7" ht="12.75">
      <c r="A63" s="74" t="s">
        <v>102</v>
      </c>
      <c r="B63" s="63"/>
      <c r="C63" s="85">
        <v>20</v>
      </c>
      <c r="D63" s="63">
        <v>30</v>
      </c>
      <c r="E63" s="63"/>
      <c r="F63" s="63"/>
      <c r="G63" s="73"/>
    </row>
    <row r="64" spans="1:7" ht="12.75">
      <c r="A64" s="74" t="s">
        <v>101</v>
      </c>
      <c r="B64" s="63"/>
      <c r="C64" s="85">
        <f>+C62*C63</f>
        <v>148560</v>
      </c>
      <c r="D64" s="63">
        <f>+D62*D63</f>
        <v>222840</v>
      </c>
      <c r="E64" s="63"/>
      <c r="F64" s="63"/>
      <c r="G64" s="73"/>
    </row>
    <row r="65" spans="1:7" ht="12.75">
      <c r="A65" s="74" t="s">
        <v>103</v>
      </c>
      <c r="B65" s="63"/>
      <c r="C65" s="85">
        <v>8</v>
      </c>
      <c r="D65" s="63">
        <v>8</v>
      </c>
      <c r="E65" s="63"/>
      <c r="F65" s="63"/>
      <c r="G65" s="73"/>
    </row>
    <row r="66" spans="1:7" ht="12.75">
      <c r="A66" s="101" t="s">
        <v>115</v>
      </c>
      <c r="B66" s="63"/>
      <c r="C66" s="85">
        <f>+C64*C65</f>
        <v>1188480</v>
      </c>
      <c r="D66" s="63">
        <f>+D64*D65</f>
        <v>1782720</v>
      </c>
      <c r="E66" s="63"/>
      <c r="F66" s="63"/>
      <c r="G66" s="73"/>
    </row>
    <row r="67" spans="1:7" ht="12.75">
      <c r="A67" s="74"/>
      <c r="B67" s="63"/>
      <c r="C67" s="85"/>
      <c r="D67" s="63"/>
      <c r="E67" s="63"/>
      <c r="F67" s="63"/>
      <c r="G67" s="73"/>
    </row>
    <row r="68" spans="1:7" ht="12.75">
      <c r="A68" s="74"/>
      <c r="B68" s="63"/>
      <c r="C68" s="85"/>
      <c r="D68" s="63"/>
      <c r="E68" s="63"/>
      <c r="F68" s="63"/>
      <c r="G68" s="73"/>
    </row>
    <row r="69" spans="1:7" ht="12.75">
      <c r="A69" s="102" t="s">
        <v>116</v>
      </c>
      <c r="B69" s="89"/>
      <c r="C69" s="81"/>
      <c r="D69" s="81"/>
      <c r="E69" s="81"/>
      <c r="F69" s="81"/>
      <c r="G69" s="100"/>
    </row>
    <row r="70" spans="1:7" ht="25.5">
      <c r="A70" s="103" t="s">
        <v>38</v>
      </c>
      <c r="B70" s="63"/>
      <c r="C70" s="86">
        <v>18000</v>
      </c>
      <c r="D70" s="83"/>
      <c r="E70" s="83"/>
      <c r="F70" s="83"/>
      <c r="G70" s="73"/>
    </row>
    <row r="71" spans="1:7" ht="25.5">
      <c r="A71" s="103" t="s">
        <v>39</v>
      </c>
      <c r="B71" s="63"/>
      <c r="C71" s="86">
        <v>10000</v>
      </c>
      <c r="D71" s="83"/>
      <c r="E71" s="83"/>
      <c r="F71" s="83"/>
      <c r="G71" s="73"/>
    </row>
    <row r="72" spans="1:7" ht="12.75">
      <c r="A72" s="103" t="s">
        <v>119</v>
      </c>
      <c r="B72" s="63"/>
      <c r="C72" s="86">
        <v>8000</v>
      </c>
      <c r="D72" s="83"/>
      <c r="E72" s="83"/>
      <c r="F72" s="83"/>
      <c r="G72" s="73"/>
    </row>
    <row r="73" spans="1:7" ht="25.5">
      <c r="A73" s="103" t="s">
        <v>120</v>
      </c>
      <c r="B73" s="63"/>
      <c r="C73" s="86">
        <v>4000</v>
      </c>
      <c r="D73" s="83"/>
      <c r="E73" s="83"/>
      <c r="F73" s="83"/>
      <c r="G73" s="73"/>
    </row>
    <row r="74" spans="1:7" ht="12.75">
      <c r="A74" s="103"/>
      <c r="B74" s="63"/>
      <c r="C74" s="86">
        <f>+C70+C71+C73+C72</f>
        <v>40000</v>
      </c>
      <c r="D74" s="83">
        <v>12</v>
      </c>
      <c r="E74" s="83">
        <f>+C74*D74</f>
        <v>480000</v>
      </c>
      <c r="F74" s="83"/>
      <c r="G74" s="73"/>
    </row>
    <row r="75" spans="1:7" ht="12.75">
      <c r="A75" s="103"/>
      <c r="B75" s="63"/>
      <c r="C75" s="86"/>
      <c r="D75" s="83"/>
      <c r="E75" s="83"/>
      <c r="F75" s="83"/>
      <c r="G75" s="73"/>
    </row>
    <row r="76" spans="1:7" ht="25.5">
      <c r="A76" s="103" t="s">
        <v>28</v>
      </c>
      <c r="B76" s="63"/>
      <c r="C76" s="86">
        <v>12000</v>
      </c>
      <c r="D76" s="83">
        <v>12</v>
      </c>
      <c r="E76" s="83">
        <f>+C76*D76</f>
        <v>144000</v>
      </c>
      <c r="F76" s="83"/>
      <c r="G76" s="73"/>
    </row>
    <row r="77" spans="1:7" ht="12.75">
      <c r="A77" s="103" t="s">
        <v>41</v>
      </c>
      <c r="B77" s="63"/>
      <c r="C77" s="86">
        <v>6000</v>
      </c>
      <c r="D77" s="83">
        <v>12</v>
      </c>
      <c r="E77" s="83">
        <f>+C77*D77</f>
        <v>72000</v>
      </c>
      <c r="F77" s="83"/>
      <c r="G77" s="73"/>
    </row>
    <row r="78" spans="1:7" ht="25.5">
      <c r="A78" s="103" t="s">
        <v>27</v>
      </c>
      <c r="B78" s="63"/>
      <c r="C78" s="86">
        <v>15000</v>
      </c>
      <c r="D78" s="83">
        <v>12</v>
      </c>
      <c r="E78" s="83">
        <f>+C78*D78</f>
        <v>180000</v>
      </c>
      <c r="F78" s="83"/>
      <c r="G78" s="73"/>
    </row>
    <row r="79" spans="2:7" ht="12.75">
      <c r="B79" s="63"/>
      <c r="C79" s="86"/>
      <c r="D79" s="83"/>
      <c r="E79" s="83"/>
      <c r="F79" s="83"/>
      <c r="G79" s="73"/>
    </row>
    <row r="80" spans="1:7" ht="12.75">
      <c r="A80" s="103" t="s">
        <v>26</v>
      </c>
      <c r="B80" s="63"/>
      <c r="C80" s="87">
        <f>+C74+C76+C77+C78</f>
        <v>73000</v>
      </c>
      <c r="D80" s="83"/>
      <c r="E80" s="83"/>
      <c r="F80" s="83"/>
      <c r="G80" s="73"/>
    </row>
    <row r="81" spans="1:7" ht="12.75">
      <c r="A81" s="104"/>
      <c r="B81" s="63"/>
      <c r="C81" s="88"/>
      <c r="D81" s="83"/>
      <c r="E81" s="83"/>
      <c r="F81" s="83"/>
      <c r="G81" s="73"/>
    </row>
    <row r="82" spans="1:7" ht="12.75">
      <c r="A82" s="74"/>
      <c r="B82" s="63"/>
      <c r="C82" s="85"/>
      <c r="D82" s="63"/>
      <c r="E82" s="63"/>
      <c r="F82" s="63"/>
      <c r="G82" s="73"/>
    </row>
    <row r="83" spans="1:7" ht="12.75">
      <c r="A83" s="74"/>
      <c r="B83" s="63"/>
      <c r="C83" s="85"/>
      <c r="D83" s="63"/>
      <c r="E83" s="63"/>
      <c r="F83" s="63"/>
      <c r="G83" s="73"/>
    </row>
    <row r="84" ht="12.75">
      <c r="B84" s="63"/>
    </row>
    <row r="85" spans="1:7" ht="12.75">
      <c r="A85" s="105" t="s">
        <v>117</v>
      </c>
      <c r="B85" s="90" t="s">
        <v>127</v>
      </c>
      <c r="C85" s="91" t="s">
        <v>124</v>
      </c>
      <c r="D85" s="90" t="s">
        <v>125</v>
      </c>
      <c r="E85" s="90" t="s">
        <v>126</v>
      </c>
      <c r="F85" s="76"/>
      <c r="G85" s="99"/>
    </row>
    <row r="86" spans="1:7" ht="12.75">
      <c r="A86" s="73"/>
      <c r="C86" s="63"/>
      <c r="D86" s="63"/>
      <c r="E86" s="63"/>
      <c r="F86" s="63"/>
      <c r="G86" s="73"/>
    </row>
    <row r="87" spans="1:7" ht="12.75">
      <c r="A87" s="72" t="s">
        <v>123</v>
      </c>
      <c r="B87" s="63">
        <f>+B41</f>
        <v>1000000</v>
      </c>
      <c r="C87" s="63">
        <v>0</v>
      </c>
      <c r="D87" s="63"/>
      <c r="E87" s="63"/>
      <c r="F87" s="63"/>
      <c r="G87" s="73"/>
    </row>
    <row r="88" spans="1:7" ht="12.75">
      <c r="A88" s="72" t="s">
        <v>128</v>
      </c>
      <c r="B88" s="63"/>
      <c r="C88" s="63"/>
      <c r="D88" s="63"/>
      <c r="E88" s="63"/>
      <c r="F88" s="63"/>
      <c r="G88" s="73"/>
    </row>
    <row r="89" spans="1:7" ht="12.75">
      <c r="A89" s="72" t="s">
        <v>132</v>
      </c>
      <c r="B89" s="63">
        <f>B87</f>
        <v>1000000</v>
      </c>
      <c r="C89" s="63">
        <v>0</v>
      </c>
      <c r="D89" s="63">
        <f>B89-C89</f>
        <v>1000000</v>
      </c>
      <c r="E89" s="63">
        <f>+D89*0.12/4</f>
        <v>30000</v>
      </c>
      <c r="F89" s="63"/>
      <c r="G89" s="73"/>
    </row>
    <row r="90" spans="1:7" ht="12.75">
      <c r="A90" s="72" t="s">
        <v>133</v>
      </c>
      <c r="B90" s="63">
        <f>D89</f>
        <v>1000000</v>
      </c>
      <c r="C90" s="63">
        <v>0</v>
      </c>
      <c r="D90" s="63">
        <f>B90-C90</f>
        <v>1000000</v>
      </c>
      <c r="E90" s="63">
        <f>+D90*0.12/4</f>
        <v>30000</v>
      </c>
      <c r="F90" s="63"/>
      <c r="G90" s="73"/>
    </row>
    <row r="91" spans="1:7" ht="12.75">
      <c r="A91" s="72" t="s">
        <v>134</v>
      </c>
      <c r="B91" s="63">
        <f>D90</f>
        <v>1000000</v>
      </c>
      <c r="C91" s="63">
        <v>50000</v>
      </c>
      <c r="D91" s="63">
        <f>B91-C91</f>
        <v>950000</v>
      </c>
      <c r="E91" s="63">
        <f>+D91*0.12/4</f>
        <v>28500</v>
      </c>
      <c r="F91" s="63"/>
      <c r="G91" s="73"/>
    </row>
    <row r="92" spans="1:7" ht="12.75">
      <c r="A92" s="72" t="s">
        <v>135</v>
      </c>
      <c r="B92" s="63">
        <f>D91</f>
        <v>950000</v>
      </c>
      <c r="C92" s="63">
        <f>+C91</f>
        <v>50000</v>
      </c>
      <c r="D92" s="63">
        <f>B92-C92</f>
        <v>900000</v>
      </c>
      <c r="E92" s="63">
        <f>+D92*0.12/4</f>
        <v>27000</v>
      </c>
      <c r="F92" s="63">
        <f>SUM(E89:E92)</f>
        <v>115500</v>
      </c>
      <c r="G92" s="73"/>
    </row>
    <row r="93" spans="1:7" ht="12.75">
      <c r="A93" s="72"/>
      <c r="B93" s="63"/>
      <c r="C93" s="63"/>
      <c r="D93" s="63"/>
      <c r="E93" s="63"/>
      <c r="F93" s="63"/>
      <c r="G93" s="73"/>
    </row>
    <row r="94" spans="1:7" ht="12.75">
      <c r="A94" s="72" t="s">
        <v>136</v>
      </c>
      <c r="B94" s="63"/>
      <c r="C94" s="63"/>
      <c r="D94" s="63"/>
      <c r="E94" s="63"/>
      <c r="F94" s="63"/>
      <c r="G94" s="73"/>
    </row>
    <row r="95" spans="1:7" ht="12.75">
      <c r="A95" s="72" t="s">
        <v>132</v>
      </c>
      <c r="B95" s="63">
        <f>+D92</f>
        <v>900000</v>
      </c>
      <c r="C95" s="63">
        <f>+C92</f>
        <v>50000</v>
      </c>
      <c r="D95" s="63">
        <f>B95-C95</f>
        <v>850000</v>
      </c>
      <c r="E95" s="63">
        <f>+D95*0.12/4</f>
        <v>25500</v>
      </c>
      <c r="F95" s="63"/>
      <c r="G95" s="73"/>
    </row>
    <row r="96" spans="1:7" ht="12.75">
      <c r="A96" s="72" t="s">
        <v>133</v>
      </c>
      <c r="B96" s="63">
        <f>D95</f>
        <v>850000</v>
      </c>
      <c r="C96" s="63">
        <f>+C95</f>
        <v>50000</v>
      </c>
      <c r="D96" s="63">
        <f>B96-C96</f>
        <v>800000</v>
      </c>
      <c r="E96" s="63">
        <f>+D96*0.12/4</f>
        <v>24000</v>
      </c>
      <c r="F96" s="63"/>
      <c r="G96" s="73"/>
    </row>
    <row r="97" spans="1:7" ht="12.75">
      <c r="A97" s="72" t="s">
        <v>134</v>
      </c>
      <c r="B97" s="63">
        <f>+D96</f>
        <v>800000</v>
      </c>
      <c r="C97" s="63">
        <f>+C96</f>
        <v>50000</v>
      </c>
      <c r="D97" s="63">
        <f>B97-C97</f>
        <v>750000</v>
      </c>
      <c r="E97" s="63">
        <f>+D97*0.12/4</f>
        <v>22500</v>
      </c>
      <c r="F97" s="63"/>
      <c r="G97" s="73"/>
    </row>
    <row r="98" spans="1:7" ht="12.75">
      <c r="A98" s="72" t="s">
        <v>135</v>
      </c>
      <c r="B98" s="63">
        <f>+D97</f>
        <v>750000</v>
      </c>
      <c r="C98" s="63">
        <f>+C97</f>
        <v>50000</v>
      </c>
      <c r="D98" s="63">
        <f>B98-C98</f>
        <v>700000</v>
      </c>
      <c r="E98" s="63">
        <f>+D98*0.12/4</f>
        <v>21000</v>
      </c>
      <c r="F98" s="63">
        <f>SUM(E95:E98)</f>
        <v>93000</v>
      </c>
      <c r="G98" s="73"/>
    </row>
    <row r="99" spans="1:7" ht="12.75">
      <c r="A99" s="72"/>
      <c r="B99" s="63"/>
      <c r="C99" s="63"/>
      <c r="D99" s="63"/>
      <c r="E99" s="63"/>
      <c r="F99" s="63"/>
      <c r="G99" s="73"/>
    </row>
    <row r="100" spans="1:7" ht="12.75">
      <c r="A100" s="72" t="s">
        <v>75</v>
      </c>
      <c r="B100" s="63"/>
      <c r="C100" s="63"/>
      <c r="D100" s="63"/>
      <c r="E100" s="63"/>
      <c r="F100" s="63"/>
      <c r="G100" s="73"/>
    </row>
    <row r="101" spans="1:7" ht="12.75">
      <c r="A101" s="72" t="s">
        <v>132</v>
      </c>
      <c r="B101" s="63">
        <f>+D98</f>
        <v>700000</v>
      </c>
      <c r="C101" s="63">
        <f>+C98</f>
        <v>50000</v>
      </c>
      <c r="D101" s="63">
        <f>B101-C101</f>
        <v>650000</v>
      </c>
      <c r="E101" s="63">
        <f>+D101*0.12/4</f>
        <v>19500</v>
      </c>
      <c r="F101" s="63"/>
      <c r="G101" s="73"/>
    </row>
    <row r="102" spans="1:7" ht="12.75">
      <c r="A102" s="72" t="s">
        <v>133</v>
      </c>
      <c r="B102" s="63">
        <f>+D101</f>
        <v>650000</v>
      </c>
      <c r="C102" s="63">
        <f>+C101</f>
        <v>50000</v>
      </c>
      <c r="D102" s="63">
        <f>B102-C102</f>
        <v>600000</v>
      </c>
      <c r="E102" s="63">
        <f>+D102*0.12/4</f>
        <v>18000</v>
      </c>
      <c r="F102" s="63"/>
      <c r="G102" s="73"/>
    </row>
    <row r="103" spans="1:7" ht="12.75">
      <c r="A103" s="72" t="s">
        <v>134</v>
      </c>
      <c r="B103" s="63">
        <f>+D102</f>
        <v>600000</v>
      </c>
      <c r="C103" s="63">
        <f>+C102</f>
        <v>50000</v>
      </c>
      <c r="D103" s="63">
        <f>B103-C103</f>
        <v>550000</v>
      </c>
      <c r="E103" s="63">
        <f>+D103*0.12/4</f>
        <v>16500</v>
      </c>
      <c r="F103" s="63"/>
      <c r="G103" s="73"/>
    </row>
    <row r="104" spans="1:7" ht="12.75">
      <c r="A104" s="72" t="s">
        <v>135</v>
      </c>
      <c r="B104" s="63">
        <f>+D103</f>
        <v>550000</v>
      </c>
      <c r="C104" s="63">
        <f>+C101</f>
        <v>50000</v>
      </c>
      <c r="D104" s="63">
        <f>B104-C104</f>
        <v>500000</v>
      </c>
      <c r="E104" s="63">
        <f>+D104*0.12/4</f>
        <v>15000</v>
      </c>
      <c r="F104" s="63">
        <f>SUM(E101:E104)</f>
        <v>69000</v>
      </c>
      <c r="G104" s="73"/>
    </row>
    <row r="105" spans="1:7" ht="12.75">
      <c r="A105" s="72"/>
      <c r="B105" s="63"/>
      <c r="C105" s="63"/>
      <c r="D105" s="63"/>
      <c r="E105" s="63"/>
      <c r="F105" s="63"/>
      <c r="G105" s="73"/>
    </row>
    <row r="106" spans="1:7" ht="12.75">
      <c r="A106" s="72" t="s">
        <v>129</v>
      </c>
      <c r="B106" s="63"/>
      <c r="C106" s="63"/>
      <c r="D106" s="63"/>
      <c r="E106" s="63"/>
      <c r="F106" s="63"/>
      <c r="G106" s="73"/>
    </row>
    <row r="107" spans="1:7" ht="12.75">
      <c r="A107" s="72" t="s">
        <v>132</v>
      </c>
      <c r="B107" s="63">
        <f>+D104</f>
        <v>500000</v>
      </c>
      <c r="C107" s="63">
        <f>+C104</f>
        <v>50000</v>
      </c>
      <c r="D107" s="63">
        <f>B107-C107</f>
        <v>450000</v>
      </c>
      <c r="E107" s="63">
        <f>+D107*0.12/4</f>
        <v>13500</v>
      </c>
      <c r="F107" s="63"/>
      <c r="G107" s="73"/>
    </row>
    <row r="108" spans="1:7" ht="12.75">
      <c r="A108" s="72" t="s">
        <v>133</v>
      </c>
      <c r="B108" s="63">
        <f>+D107</f>
        <v>450000</v>
      </c>
      <c r="C108" s="63">
        <f>+C107</f>
        <v>50000</v>
      </c>
      <c r="D108" s="63">
        <f>B108-C108</f>
        <v>400000</v>
      </c>
      <c r="E108" s="63">
        <f>+D108*0.12/4</f>
        <v>12000</v>
      </c>
      <c r="F108" s="63"/>
      <c r="G108" s="73"/>
    </row>
    <row r="109" spans="1:7" ht="12.75">
      <c r="A109" s="72" t="s">
        <v>134</v>
      </c>
      <c r="B109" s="63">
        <f>+D108</f>
        <v>400000</v>
      </c>
      <c r="C109" s="63">
        <f>+C108</f>
        <v>50000</v>
      </c>
      <c r="D109" s="63">
        <f>B109-C109</f>
        <v>350000</v>
      </c>
      <c r="E109" s="63">
        <f>+D109*0.12/4</f>
        <v>10500</v>
      </c>
      <c r="F109" s="63"/>
      <c r="G109" s="73"/>
    </row>
    <row r="110" spans="1:7" ht="12.75">
      <c r="A110" s="72" t="s">
        <v>135</v>
      </c>
      <c r="B110" s="63">
        <f>+D109</f>
        <v>350000</v>
      </c>
      <c r="C110" s="63">
        <f>+C109</f>
        <v>50000</v>
      </c>
      <c r="D110" s="63">
        <f>B110-C110</f>
        <v>300000</v>
      </c>
      <c r="E110" s="63">
        <f>+D110*0.12/4</f>
        <v>9000</v>
      </c>
      <c r="F110" s="63">
        <f>SUM(E107:E110)</f>
        <v>45000</v>
      </c>
      <c r="G110" s="73"/>
    </row>
    <row r="111" spans="1:7" ht="12.75">
      <c r="A111" s="72"/>
      <c r="B111" s="63"/>
      <c r="C111" s="63"/>
      <c r="D111" s="63"/>
      <c r="E111" s="63"/>
      <c r="F111" s="63"/>
      <c r="G111" s="73"/>
    </row>
    <row r="112" spans="1:7" ht="12.75">
      <c r="A112" s="72" t="s">
        <v>130</v>
      </c>
      <c r="B112" s="63"/>
      <c r="C112" s="63"/>
      <c r="D112" s="63"/>
      <c r="E112" s="63"/>
      <c r="F112" s="63"/>
      <c r="G112" s="73"/>
    </row>
    <row r="113" spans="1:7" ht="12.75">
      <c r="A113" s="72" t="s">
        <v>132</v>
      </c>
      <c r="B113" s="63">
        <f>+D110</f>
        <v>300000</v>
      </c>
      <c r="C113" s="63">
        <f>+C110</f>
        <v>50000</v>
      </c>
      <c r="D113" s="63">
        <f>B113-C113</f>
        <v>250000</v>
      </c>
      <c r="E113" s="63">
        <f>+D113*0.12/4</f>
        <v>7500</v>
      </c>
      <c r="F113" s="63"/>
      <c r="G113" s="73"/>
    </row>
    <row r="114" spans="1:7" ht="12.75">
      <c r="A114" s="72" t="s">
        <v>133</v>
      </c>
      <c r="B114" s="63">
        <f>+D113</f>
        <v>250000</v>
      </c>
      <c r="C114" s="63">
        <f>+C113</f>
        <v>50000</v>
      </c>
      <c r="D114" s="63">
        <f>B114-C114</f>
        <v>200000</v>
      </c>
      <c r="E114" s="63">
        <f>+D114*0.12/4</f>
        <v>6000</v>
      </c>
      <c r="F114" s="63"/>
      <c r="G114" s="73"/>
    </row>
    <row r="115" spans="1:7" ht="12.75">
      <c r="A115" s="72" t="s">
        <v>134</v>
      </c>
      <c r="B115" s="63">
        <f>+D114</f>
        <v>200000</v>
      </c>
      <c r="C115" s="63">
        <f>+C114</f>
        <v>50000</v>
      </c>
      <c r="D115" s="63">
        <f>B115-C115</f>
        <v>150000</v>
      </c>
      <c r="E115" s="63">
        <f>+D115*0.12/4</f>
        <v>4500</v>
      </c>
      <c r="F115" s="63"/>
      <c r="G115" s="73"/>
    </row>
    <row r="116" spans="1:7" ht="12.75">
      <c r="A116" s="72" t="s">
        <v>135</v>
      </c>
      <c r="B116" s="63">
        <f>+D115</f>
        <v>150000</v>
      </c>
      <c r="C116" s="63">
        <f>+C115</f>
        <v>50000</v>
      </c>
      <c r="D116" s="63">
        <f>B116-C116</f>
        <v>100000</v>
      </c>
      <c r="E116" s="63">
        <f>+D116*0.12/4</f>
        <v>3000</v>
      </c>
      <c r="F116" s="63">
        <f>SUM(E113:E116)</f>
        <v>21000</v>
      </c>
      <c r="G116" s="73"/>
    </row>
    <row r="117" spans="1:7" ht="12.75">
      <c r="A117" s="72"/>
      <c r="B117" s="63"/>
      <c r="C117" s="63"/>
      <c r="D117" s="63"/>
      <c r="E117" s="63"/>
      <c r="F117" s="63"/>
      <c r="G117" s="73"/>
    </row>
    <row r="118" spans="1:7" ht="12.75">
      <c r="A118" s="72"/>
      <c r="B118" s="63"/>
      <c r="C118" s="63"/>
      <c r="D118" s="63"/>
      <c r="E118" s="63"/>
      <c r="F118" s="63"/>
      <c r="G118" s="73"/>
    </row>
    <row r="119" spans="1:7" ht="12.75">
      <c r="A119" s="72" t="s">
        <v>137</v>
      </c>
      <c r="B119" s="63"/>
      <c r="C119" s="63"/>
      <c r="D119" s="63"/>
      <c r="E119" s="63"/>
      <c r="F119" s="63"/>
      <c r="G119" s="73"/>
    </row>
    <row r="120" spans="1:7" ht="12.75">
      <c r="A120" s="72" t="s">
        <v>132</v>
      </c>
      <c r="B120" s="63">
        <f>+D116</f>
        <v>100000</v>
      </c>
      <c r="C120" s="63">
        <f>+C116</f>
        <v>50000</v>
      </c>
      <c r="D120" s="63">
        <f>+B120-C120</f>
        <v>50000</v>
      </c>
      <c r="E120" s="63">
        <f>+D120*0.12/4</f>
        <v>1500</v>
      </c>
      <c r="F120" s="63"/>
      <c r="G120" s="73"/>
    </row>
    <row r="121" spans="1:7" ht="12.75">
      <c r="A121" s="72" t="s">
        <v>133</v>
      </c>
      <c r="B121" s="63">
        <f>+D120</f>
        <v>50000</v>
      </c>
      <c r="C121" s="63">
        <f>+C120</f>
        <v>50000</v>
      </c>
      <c r="D121" s="63">
        <f>+B121-C121</f>
        <v>0</v>
      </c>
      <c r="E121" s="63">
        <f>+D121*0.12/4</f>
        <v>0</v>
      </c>
      <c r="F121" s="63"/>
      <c r="G121" s="73"/>
    </row>
    <row r="122" spans="1:7" ht="12.75">
      <c r="A122" s="72"/>
      <c r="B122" s="63"/>
      <c r="C122" s="63"/>
      <c r="D122" s="63"/>
      <c r="E122" s="63"/>
      <c r="F122" s="63"/>
      <c r="G122" s="73"/>
    </row>
    <row r="123" spans="1:7" ht="12.75">
      <c r="A123" s="72"/>
      <c r="B123" s="63"/>
      <c r="C123" s="63"/>
      <c r="D123" s="63"/>
      <c r="E123" s="63"/>
      <c r="F123" s="63"/>
      <c r="G123" s="73"/>
    </row>
    <row r="124" spans="1:7" ht="12.75">
      <c r="A124" s="72"/>
      <c r="B124" s="63"/>
      <c r="C124" s="63"/>
      <c r="D124" s="63"/>
      <c r="E124" s="63"/>
      <c r="F124" s="63"/>
      <c r="G124" s="73"/>
    </row>
    <row r="125" spans="1:7" ht="25.5">
      <c r="A125" s="72" t="s">
        <v>131</v>
      </c>
      <c r="B125" s="63"/>
      <c r="C125" s="63"/>
      <c r="D125" s="63"/>
      <c r="E125" s="63"/>
      <c r="F125" s="63"/>
      <c r="G125" s="73"/>
    </row>
    <row r="126" spans="1:7" ht="12.75">
      <c r="A126" s="106"/>
      <c r="B126" s="58"/>
      <c r="C126" s="58"/>
      <c r="D126" s="58"/>
      <c r="E126" s="58"/>
      <c r="F126" s="58"/>
      <c r="G126" s="106"/>
    </row>
    <row r="127" spans="1:7" ht="12.75">
      <c r="A127" s="107" t="s">
        <v>118</v>
      </c>
      <c r="B127" s="75"/>
      <c r="C127" s="75"/>
      <c r="D127" s="75"/>
      <c r="E127" s="75"/>
      <c r="F127" s="75"/>
      <c r="G127" s="116"/>
    </row>
    <row r="129" spans="1:3" ht="25.5">
      <c r="A129" s="108" t="s">
        <v>53</v>
      </c>
      <c r="B129" s="92"/>
      <c r="C129" s="92"/>
    </row>
    <row r="130" spans="1:3" ht="12.75">
      <c r="A130" s="108" t="s">
        <v>15</v>
      </c>
      <c r="B130" s="92"/>
      <c r="C130" s="92"/>
    </row>
    <row r="131" spans="1:3" ht="12.75">
      <c r="A131" s="109" t="s">
        <v>14</v>
      </c>
      <c r="B131" s="92">
        <v>35000</v>
      </c>
      <c r="C131" s="92"/>
    </row>
    <row r="132" spans="1:3" ht="12.75">
      <c r="A132" s="109" t="s">
        <v>71</v>
      </c>
      <c r="B132" s="92">
        <v>540000</v>
      </c>
      <c r="C132" s="92"/>
    </row>
    <row r="133" spans="1:3" ht="38.25">
      <c r="A133" s="109" t="s">
        <v>54</v>
      </c>
      <c r="B133" s="92">
        <v>160000</v>
      </c>
      <c r="C133" s="92"/>
    </row>
    <row r="134" spans="1:3" ht="12.75">
      <c r="A134" s="109" t="s">
        <v>42</v>
      </c>
      <c r="B134" s="92">
        <v>6000</v>
      </c>
      <c r="C134" s="92"/>
    </row>
    <row r="135" spans="1:3" ht="25.5">
      <c r="A135" s="109" t="s">
        <v>24</v>
      </c>
      <c r="B135" s="92">
        <v>20000</v>
      </c>
      <c r="C135" s="92">
        <f>SUM(B131:B135)</f>
        <v>761000</v>
      </c>
    </row>
    <row r="136" spans="1:3" ht="12.75">
      <c r="A136" s="110" t="s">
        <v>19</v>
      </c>
      <c r="B136" s="92"/>
      <c r="C136" s="92"/>
    </row>
    <row r="137" spans="1:3" ht="12.75">
      <c r="A137" s="109" t="s">
        <v>23</v>
      </c>
      <c r="B137" s="92">
        <v>30000</v>
      </c>
      <c r="C137" s="92"/>
    </row>
    <row r="138" spans="1:3" ht="12.75">
      <c r="A138" s="109" t="s">
        <v>25</v>
      </c>
      <c r="B138" s="92">
        <v>40000</v>
      </c>
      <c r="C138" s="92"/>
    </row>
    <row r="139" spans="1:3" ht="25.5">
      <c r="A139" s="109" t="s">
        <v>22</v>
      </c>
      <c r="B139" s="92">
        <v>20000</v>
      </c>
      <c r="C139" s="92"/>
    </row>
    <row r="140" spans="1:3" ht="12.75">
      <c r="A140" s="109" t="s">
        <v>21</v>
      </c>
      <c r="B140" s="92">
        <v>140000</v>
      </c>
      <c r="C140" s="92">
        <f>SUM(B137:B140)</f>
        <v>230000</v>
      </c>
    </row>
    <row r="141" spans="1:3" ht="12.75">
      <c r="A141" s="109"/>
      <c r="B141" s="92"/>
      <c r="C141" s="92"/>
    </row>
    <row r="142" spans="1:3" ht="12.75">
      <c r="A142" s="110" t="s">
        <v>20</v>
      </c>
      <c r="B142" s="92"/>
      <c r="C142" s="92"/>
    </row>
    <row r="143" spans="1:3" ht="12.75">
      <c r="A143" s="109" t="s">
        <v>17</v>
      </c>
      <c r="B143" s="92">
        <v>300000</v>
      </c>
      <c r="C143" s="92"/>
    </row>
    <row r="144" spans="1:3" ht="25.5">
      <c r="A144" s="109" t="s">
        <v>18</v>
      </c>
      <c r="B144" s="92">
        <v>20000</v>
      </c>
      <c r="C144" s="92"/>
    </row>
    <row r="145" spans="1:3" ht="25.5">
      <c r="A145" s="109" t="s">
        <v>16</v>
      </c>
      <c r="B145" s="92">
        <v>40000</v>
      </c>
      <c r="C145" s="92">
        <f>SUM(B143:B145)</f>
        <v>360000</v>
      </c>
    </row>
    <row r="146" spans="1:3" ht="12.75">
      <c r="A146" s="111"/>
      <c r="B146" s="92"/>
      <c r="C146" s="92"/>
    </row>
    <row r="147" spans="1:3" ht="15">
      <c r="A147" s="112" t="s">
        <v>138</v>
      </c>
      <c r="B147" s="92"/>
      <c r="C147" s="93">
        <f>SUM(C135+C140+C145)</f>
        <v>1351000</v>
      </c>
    </row>
  </sheetData>
  <sheetProtection/>
  <mergeCells count="4">
    <mergeCell ref="A1:L1"/>
    <mergeCell ref="A2:L2"/>
    <mergeCell ref="A18:L18"/>
    <mergeCell ref="A33:L33"/>
  </mergeCells>
  <hyperlinks>
    <hyperlink ref="B15" r:id="rId1" display="+C15-@sum(C5:C13)"/>
    <hyperlink ref="C15" r:id="rId2" display="+D15-@sum(D5:D12)"/>
    <hyperlink ref="D15" r:id="rId3" display="+E15-@sum(E5:E13)"/>
    <hyperlink ref="E15" r:id="rId4" display="+F15-@sum(F5:F13)"/>
    <hyperlink ref="F15" r:id="rId5" display="+G15-@sum(G5:G12)"/>
  </hyperlinks>
  <printOptions horizontalCentered="1"/>
  <pageMargins left="0.7" right="0.7" top="0.75" bottom="0.75" header="0.3" footer="0.3"/>
  <pageSetup horizontalDpi="600" verticalDpi="600" orientation="landscape" paperSize="9" scale="83" r:id="rId6"/>
  <rowBreaks count="4" manualBreakCount="4">
    <brk id="31" max="11" man="1"/>
    <brk id="57" max="11" man="1"/>
    <brk id="84" max="11" man="1"/>
    <brk id="12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144"/>
  <sheetViews>
    <sheetView tabSelected="1" view="pageBreakPreview" zoomScale="112" zoomScaleSheetLayoutView="112" zoomScalePageLayoutView="0" workbookViewId="0" topLeftCell="B86">
      <selection activeCell="D84" sqref="D84:D85"/>
    </sheetView>
  </sheetViews>
  <sheetFormatPr defaultColWidth="13.00390625" defaultRowHeight="12.75"/>
  <cols>
    <col min="1" max="1" width="13.00390625" style="0" hidden="1" customWidth="1"/>
    <col min="2" max="2" width="17.7109375" style="96" customWidth="1"/>
    <col min="3" max="3" width="9.00390625" style="0" customWidth="1"/>
    <col min="4" max="4" width="10.7109375" style="0" customWidth="1"/>
    <col min="5" max="5" width="9.57421875" style="0" customWidth="1"/>
    <col min="6" max="6" width="10.140625" style="0" customWidth="1"/>
    <col min="7" max="7" width="13.8515625" style="0" customWidth="1"/>
    <col min="8" max="8" width="13.00390625" style="96" customWidth="1"/>
    <col min="9" max="9" width="10.28125" style="0" customWidth="1"/>
    <col min="10" max="10" width="10.140625" style="0" customWidth="1"/>
    <col min="11" max="11" width="10.00390625" style="0" customWidth="1"/>
    <col min="12" max="12" width="9.28125" style="0" customWidth="1"/>
  </cols>
  <sheetData>
    <row r="1" spans="2:13" ht="26.25">
      <c r="B1" s="120" t="s">
        <v>139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2:13" ht="26.25">
      <c r="B2" s="120" t="s">
        <v>160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2:13" ht="12.75">
      <c r="B3" s="121" t="s">
        <v>161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2:13" ht="12.75">
      <c r="B4" s="94"/>
      <c r="C4" s="76" t="s">
        <v>73</v>
      </c>
      <c r="D4" s="76" t="s">
        <v>74</v>
      </c>
      <c r="E4" s="76" t="s">
        <v>75</v>
      </c>
      <c r="F4" s="76" t="s">
        <v>76</v>
      </c>
      <c r="G4" s="76" t="s">
        <v>77</v>
      </c>
      <c r="H4" s="94"/>
      <c r="I4" s="76" t="s">
        <v>73</v>
      </c>
      <c r="J4" s="76" t="s">
        <v>74</v>
      </c>
      <c r="K4" s="76" t="s">
        <v>75</v>
      </c>
      <c r="L4" s="76" t="s">
        <v>76</v>
      </c>
      <c r="M4" s="76" t="s">
        <v>77</v>
      </c>
    </row>
    <row r="5" spans="2:13" ht="12.75">
      <c r="B5" s="95" t="s">
        <v>86</v>
      </c>
      <c r="C5" s="82"/>
      <c r="D5" s="82"/>
      <c r="E5" s="82"/>
      <c r="F5" s="82"/>
      <c r="G5" s="82"/>
      <c r="H5" s="95" t="s">
        <v>87</v>
      </c>
      <c r="I5" s="82"/>
      <c r="J5" s="82"/>
      <c r="K5" s="82"/>
      <c r="L5" s="82"/>
      <c r="M5" s="82"/>
    </row>
    <row r="6" spans="2:13" ht="25.5">
      <c r="B6" s="96" t="s">
        <v>78</v>
      </c>
      <c r="C6" s="117">
        <f>+F77</f>
        <v>684000</v>
      </c>
      <c r="D6" s="117">
        <f aca="true" t="shared" si="0" ref="D6:G7">+C6*1.05</f>
        <v>718200</v>
      </c>
      <c r="E6" s="117">
        <f t="shared" si="0"/>
        <v>754110</v>
      </c>
      <c r="F6" s="117">
        <f t="shared" si="0"/>
        <v>791815.5</v>
      </c>
      <c r="G6" s="117">
        <f t="shared" si="0"/>
        <v>831406.275</v>
      </c>
      <c r="H6" s="96" t="s">
        <v>85</v>
      </c>
      <c r="I6">
        <f>+D66</f>
        <v>2376960</v>
      </c>
      <c r="J6">
        <f>+I6</f>
        <v>2376960</v>
      </c>
      <c r="K6">
        <f>+J6</f>
        <v>2376960</v>
      </c>
      <c r="L6">
        <f>+K6</f>
        <v>2376960</v>
      </c>
      <c r="M6">
        <f>+L6</f>
        <v>2376960</v>
      </c>
    </row>
    <row r="7" spans="2:7" ht="12.75">
      <c r="B7" s="96" t="s">
        <v>79</v>
      </c>
      <c r="C7" s="117">
        <v>144000</v>
      </c>
      <c r="D7" s="117">
        <f t="shared" si="0"/>
        <v>151200</v>
      </c>
      <c r="E7" s="117">
        <f t="shared" si="0"/>
        <v>158760</v>
      </c>
      <c r="F7" s="117">
        <f t="shared" si="0"/>
        <v>166698</v>
      </c>
      <c r="G7" s="117">
        <f t="shared" si="0"/>
        <v>175032.9</v>
      </c>
    </row>
    <row r="8" spans="2:7" ht="12.75">
      <c r="B8" s="96" t="s">
        <v>80</v>
      </c>
      <c r="C8" s="117">
        <f>+F79</f>
        <v>120000</v>
      </c>
      <c r="D8" s="117">
        <f aca="true" t="shared" si="1" ref="D8:G11">+C8*1.05</f>
        <v>126000</v>
      </c>
      <c r="E8" s="117">
        <f t="shared" si="1"/>
        <v>132300</v>
      </c>
      <c r="F8" s="117">
        <f t="shared" si="1"/>
        <v>138915</v>
      </c>
      <c r="G8" s="117">
        <f t="shared" si="1"/>
        <v>145860.75</v>
      </c>
    </row>
    <row r="9" spans="2:7" ht="12.75">
      <c r="B9" s="96" t="s">
        <v>81</v>
      </c>
      <c r="C9" s="117">
        <v>60000</v>
      </c>
      <c r="D9" s="117">
        <f t="shared" si="1"/>
        <v>63000</v>
      </c>
      <c r="E9" s="117">
        <f t="shared" si="1"/>
        <v>66150</v>
      </c>
      <c r="F9" s="117">
        <f t="shared" si="1"/>
        <v>69457.5</v>
      </c>
      <c r="G9" s="117">
        <f t="shared" si="1"/>
        <v>72930.375</v>
      </c>
    </row>
    <row r="10" spans="2:7" ht="25.5">
      <c r="B10" s="96" t="s">
        <v>82</v>
      </c>
      <c r="C10" s="117">
        <v>60000</v>
      </c>
      <c r="D10" s="117">
        <f t="shared" si="1"/>
        <v>63000</v>
      </c>
      <c r="E10" s="117">
        <f t="shared" si="1"/>
        <v>66150</v>
      </c>
      <c r="F10" s="117">
        <f t="shared" si="1"/>
        <v>69457.5</v>
      </c>
      <c r="G10" s="117">
        <f t="shared" si="1"/>
        <v>72930.375</v>
      </c>
    </row>
    <row r="11" spans="2:7" ht="12.75">
      <c r="B11" s="96" t="s">
        <v>41</v>
      </c>
      <c r="C11" s="117">
        <f>+F80</f>
        <v>96000</v>
      </c>
      <c r="D11" s="117">
        <f t="shared" si="1"/>
        <v>100800</v>
      </c>
      <c r="E11" s="117">
        <f t="shared" si="1"/>
        <v>105840</v>
      </c>
      <c r="F11" s="117">
        <f t="shared" si="1"/>
        <v>111132</v>
      </c>
      <c r="G11" s="117">
        <f t="shared" si="1"/>
        <v>116688.6</v>
      </c>
    </row>
    <row r="12" spans="2:7" ht="25.5">
      <c r="B12" s="96" t="s">
        <v>113</v>
      </c>
      <c r="C12" s="117"/>
      <c r="D12" s="117">
        <v>25000</v>
      </c>
      <c r="E12" s="117">
        <v>50000</v>
      </c>
      <c r="F12" s="117">
        <v>50000</v>
      </c>
      <c r="G12" s="117">
        <v>50000</v>
      </c>
    </row>
    <row r="13" spans="2:7" ht="12.75">
      <c r="B13" s="96" t="s">
        <v>5</v>
      </c>
      <c r="C13" s="117">
        <f>+I23*0.25</f>
        <v>250000</v>
      </c>
      <c r="D13" s="117">
        <f>+I25*0.25</f>
        <v>187500</v>
      </c>
      <c r="E13" s="117">
        <f>+J25*0.25</f>
        <v>140625</v>
      </c>
      <c r="F13" s="117">
        <f>+K25*0.25</f>
        <v>105468.75</v>
      </c>
      <c r="G13" s="117">
        <f>+L25*0.25</f>
        <v>79101.5625</v>
      </c>
    </row>
    <row r="14" spans="2:7" ht="12.75">
      <c r="B14" s="96" t="s">
        <v>83</v>
      </c>
      <c r="C14" s="117">
        <f>+G93</f>
        <v>85781.25</v>
      </c>
      <c r="D14" s="117">
        <f>+G99</f>
        <v>64687.5</v>
      </c>
      <c r="E14" s="117">
        <f>+G105</f>
        <v>42187.5</v>
      </c>
      <c r="F14" s="117">
        <f>+G111</f>
        <v>19687.5</v>
      </c>
      <c r="G14" s="117">
        <f>+G117</f>
        <v>0</v>
      </c>
    </row>
    <row r="15" spans="2:7" ht="25.5">
      <c r="B15" s="96" t="s">
        <v>156</v>
      </c>
      <c r="C15" s="117">
        <f>+I6*0.1</f>
        <v>237696</v>
      </c>
      <c r="D15" s="117">
        <f>+J6*0.1</f>
        <v>237696</v>
      </c>
      <c r="E15" s="117">
        <f>+K6*0.1</f>
        <v>237696</v>
      </c>
      <c r="F15" s="117">
        <f>+L6*0.1</f>
        <v>237696</v>
      </c>
      <c r="G15" s="117">
        <f>+M6*0.1</f>
        <v>237696</v>
      </c>
    </row>
    <row r="16" spans="2:7" ht="12.75">
      <c r="B16" s="96" t="s">
        <v>84</v>
      </c>
      <c r="C16" s="117">
        <f>+C17-SUM(C6:C15)</f>
        <v>639482.75</v>
      </c>
      <c r="D16" s="143">
        <f>+D17-SUM(D6:D15)</f>
        <v>639876.5</v>
      </c>
      <c r="E16" s="143">
        <f>+E17-SUM(E6:E15)</f>
        <v>623141.5</v>
      </c>
      <c r="F16" s="143">
        <f>+F17-SUM(F6:F15)</f>
        <v>616632.25</v>
      </c>
      <c r="G16" s="143">
        <f>+G17-SUM(G6:G15)</f>
        <v>595313.1624999999</v>
      </c>
    </row>
    <row r="17" spans="3:13" ht="12.75">
      <c r="C17" s="63">
        <f>+I17</f>
        <v>2376960</v>
      </c>
      <c r="D17" s="63">
        <f>+J17</f>
        <v>2376960</v>
      </c>
      <c r="E17" s="63">
        <f>+K17</f>
        <v>2376960</v>
      </c>
      <c r="F17" s="63">
        <f>+L17</f>
        <v>2376960</v>
      </c>
      <c r="G17" s="63">
        <f>+M17</f>
        <v>2376960</v>
      </c>
      <c r="H17" s="73"/>
      <c r="I17" s="63">
        <f>SUM(I6:I15)</f>
        <v>2376960</v>
      </c>
      <c r="J17" s="63">
        <f>SUM(J6:J15)</f>
        <v>2376960</v>
      </c>
      <c r="K17" s="63">
        <f>SUM(K6:K15)</f>
        <v>2376960</v>
      </c>
      <c r="L17" s="63">
        <f>SUM(L6:L15)</f>
        <v>2376960</v>
      </c>
      <c r="M17" s="63">
        <f>SUM(M6:M15)</f>
        <v>2376960</v>
      </c>
    </row>
    <row r="18" ht="11.25" customHeight="1"/>
    <row r="19" ht="12.75" hidden="1"/>
    <row r="20" spans="2:13" ht="24" customHeight="1">
      <c r="B20" s="147" t="s">
        <v>162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</row>
    <row r="21" spans="2:13" ht="12.75">
      <c r="B21" s="94" t="s">
        <v>88</v>
      </c>
      <c r="C21" s="76" t="s">
        <v>73</v>
      </c>
      <c r="D21" s="76" t="s">
        <v>74</v>
      </c>
      <c r="E21" s="76" t="s">
        <v>75</v>
      </c>
      <c r="F21" s="76" t="s">
        <v>76</v>
      </c>
      <c r="G21" s="76" t="s">
        <v>77</v>
      </c>
      <c r="H21" s="94" t="s">
        <v>89</v>
      </c>
      <c r="I21" s="76" t="s">
        <v>73</v>
      </c>
      <c r="J21" s="76" t="s">
        <v>74</v>
      </c>
      <c r="K21" s="76" t="s">
        <v>75</v>
      </c>
      <c r="L21" s="76" t="s">
        <v>76</v>
      </c>
      <c r="M21" s="76" t="s">
        <v>77</v>
      </c>
    </row>
    <row r="23" spans="2:13" ht="25.5">
      <c r="B23" s="97" t="s">
        <v>90</v>
      </c>
      <c r="C23" s="117">
        <f>+C39</f>
        <v>350000</v>
      </c>
      <c r="D23" s="117">
        <f>+C27</f>
        <v>989482.75</v>
      </c>
      <c r="E23" s="117">
        <f>+D27</f>
        <v>1629359.25</v>
      </c>
      <c r="F23" s="117">
        <f>+E27</f>
        <v>2252500.75</v>
      </c>
      <c r="G23" s="117">
        <f>+F27</f>
        <v>2869133</v>
      </c>
      <c r="H23" s="144" t="s">
        <v>92</v>
      </c>
      <c r="I23" s="117">
        <v>1000000</v>
      </c>
      <c r="J23" s="117">
        <f>+I23</f>
        <v>1000000</v>
      </c>
      <c r="K23" s="117">
        <f>+J23</f>
        <v>1000000</v>
      </c>
      <c r="L23" s="117">
        <f>+K23</f>
        <v>1000000</v>
      </c>
      <c r="M23" s="117">
        <f>+L23</f>
        <v>1000000</v>
      </c>
    </row>
    <row r="24" spans="2:13" ht="26.25" thickBot="1">
      <c r="B24" s="97"/>
      <c r="C24" s="117"/>
      <c r="D24" s="117"/>
      <c r="E24" s="117"/>
      <c r="F24" s="117"/>
      <c r="G24" s="117"/>
      <c r="H24" s="144" t="s">
        <v>112</v>
      </c>
      <c r="I24" s="145">
        <f>+C13</f>
        <v>250000</v>
      </c>
      <c r="J24" s="145">
        <f>+D13+I24</f>
        <v>437500</v>
      </c>
      <c r="K24" s="145">
        <f>+J24+E13</f>
        <v>578125</v>
      </c>
      <c r="L24" s="145">
        <f>+K24+F13</f>
        <v>683593.75</v>
      </c>
      <c r="M24" s="145">
        <f>+L24+G13</f>
        <v>762695.3125</v>
      </c>
    </row>
    <row r="25" spans="2:13" ht="12.75">
      <c r="B25" s="97"/>
      <c r="C25" s="117"/>
      <c r="D25" s="117"/>
      <c r="E25" s="117"/>
      <c r="F25" s="117"/>
      <c r="G25" s="117"/>
      <c r="H25" s="144"/>
      <c r="I25" s="117">
        <f>+I23-I24</f>
        <v>750000</v>
      </c>
      <c r="J25" s="117">
        <f>+J23-J24</f>
        <v>562500</v>
      </c>
      <c r="K25" s="117">
        <f>+K23-K24</f>
        <v>421875</v>
      </c>
      <c r="L25" s="117">
        <f>+L23-L24</f>
        <v>316406.25</v>
      </c>
      <c r="M25" s="117">
        <f>+M23-M24</f>
        <v>237304.6875</v>
      </c>
    </row>
    <row r="26" spans="2:13" ht="39" thickBot="1">
      <c r="B26" s="97" t="s">
        <v>96</v>
      </c>
      <c r="C26" s="146">
        <f>+C16</f>
        <v>639482.75</v>
      </c>
      <c r="D26" s="146">
        <f>+D16</f>
        <v>639876.5</v>
      </c>
      <c r="E26" s="146">
        <f>+E16</f>
        <v>623141.5</v>
      </c>
      <c r="F26" s="146">
        <f>+F16</f>
        <v>616632.25</v>
      </c>
      <c r="G26" s="146">
        <f>+G16</f>
        <v>595313.1624999999</v>
      </c>
      <c r="H26" s="144" t="s">
        <v>93</v>
      </c>
      <c r="I26" s="117">
        <v>45000</v>
      </c>
      <c r="J26" s="117">
        <v>45000</v>
      </c>
      <c r="K26" s="117">
        <v>45000</v>
      </c>
      <c r="L26" s="117">
        <v>45000</v>
      </c>
      <c r="M26" s="117">
        <v>45000</v>
      </c>
    </row>
    <row r="27" spans="2:13" ht="38.25">
      <c r="B27" s="97"/>
      <c r="C27" s="117">
        <f>+C23+C26</f>
        <v>989482.75</v>
      </c>
      <c r="D27" s="117">
        <f>+D23+D26</f>
        <v>1629359.25</v>
      </c>
      <c r="E27" s="117">
        <f>+E23+E26</f>
        <v>2252500.75</v>
      </c>
      <c r="F27" s="117">
        <f>+F23+F26</f>
        <v>2869133</v>
      </c>
      <c r="G27" s="117">
        <f>+G23+G26</f>
        <v>3464446.1624999996</v>
      </c>
      <c r="H27" s="144" t="s">
        <v>105</v>
      </c>
      <c r="I27" s="117">
        <f>+I31-I25-I26</f>
        <v>850732.75</v>
      </c>
      <c r="J27" s="117">
        <f>+J31-J25-J26</f>
        <v>1490609.25</v>
      </c>
      <c r="K27" s="117">
        <f>+K31-K25-K26</f>
        <v>2066875.75</v>
      </c>
      <c r="L27" s="117">
        <f>+L31-L25-L26</f>
        <v>2601476.75</v>
      </c>
      <c r="M27" s="117">
        <f>+M31-M25-M26</f>
        <v>3182141.4749999996</v>
      </c>
    </row>
    <row r="28" spans="2:13" ht="12.75">
      <c r="B28" s="97"/>
      <c r="C28" s="117"/>
      <c r="D28" s="117"/>
      <c r="E28" s="117"/>
      <c r="F28" s="117"/>
      <c r="G28" s="117"/>
      <c r="H28" s="144"/>
      <c r="I28" s="117"/>
      <c r="J28" s="117"/>
      <c r="K28" s="117"/>
      <c r="L28" s="117"/>
      <c r="M28" s="117"/>
    </row>
    <row r="29" spans="2:7" ht="12.75">
      <c r="B29" s="97" t="s">
        <v>91</v>
      </c>
      <c r="C29">
        <f>+E93</f>
        <v>656250</v>
      </c>
      <c r="D29">
        <f>+E99</f>
        <v>468750</v>
      </c>
      <c r="E29">
        <f>+E105</f>
        <v>281250</v>
      </c>
      <c r="F29">
        <f>+E111</f>
        <v>93750</v>
      </c>
      <c r="G29">
        <f>+E117</f>
        <v>0</v>
      </c>
    </row>
    <row r="31" spans="2:13" ht="12.75">
      <c r="B31" s="94"/>
      <c r="C31" s="76">
        <f>+C29+C27</f>
        <v>1645732.75</v>
      </c>
      <c r="D31" s="76">
        <f>+D29+D27</f>
        <v>2098109.25</v>
      </c>
      <c r="E31" s="76">
        <f>+E29+E27</f>
        <v>2533750.75</v>
      </c>
      <c r="F31" s="76">
        <f>+F29+F27</f>
        <v>2962883</v>
      </c>
      <c r="G31" s="76">
        <f>+G29+G27</f>
        <v>3464446.1624999996</v>
      </c>
      <c r="H31" s="94"/>
      <c r="I31" s="76">
        <f>+C31</f>
        <v>1645732.75</v>
      </c>
      <c r="J31" s="76">
        <f>+D31</f>
        <v>2098109.25</v>
      </c>
      <c r="K31" s="76">
        <f>+E31</f>
        <v>2533750.75</v>
      </c>
      <c r="L31" s="76">
        <f>+F31</f>
        <v>2962883</v>
      </c>
      <c r="M31" s="76">
        <f>+G31</f>
        <v>3464446.1624999996</v>
      </c>
    </row>
    <row r="32" spans="2:13" ht="12.75">
      <c r="B32" s="98"/>
      <c r="C32" s="77"/>
      <c r="D32" s="77"/>
      <c r="E32" s="77"/>
      <c r="F32" s="77"/>
      <c r="G32" s="77"/>
      <c r="H32" s="98"/>
      <c r="I32" s="77"/>
      <c r="J32" s="77"/>
      <c r="K32" s="77"/>
      <c r="L32" s="77"/>
      <c r="M32" s="77"/>
    </row>
    <row r="33" spans="2:13" ht="12.75">
      <c r="B33" s="98"/>
      <c r="C33" s="77"/>
      <c r="D33" s="77"/>
      <c r="E33" s="77"/>
      <c r="F33" s="77"/>
      <c r="G33" s="77"/>
      <c r="H33" s="98"/>
      <c r="I33" s="77"/>
      <c r="J33" s="77"/>
      <c r="K33" s="77"/>
      <c r="L33" s="77"/>
      <c r="M33" s="77"/>
    </row>
    <row r="34" spans="2:13" ht="12.75">
      <c r="B34" s="98"/>
      <c r="C34" s="77"/>
      <c r="D34" s="77"/>
      <c r="E34" s="77"/>
      <c r="F34" s="77"/>
      <c r="G34" s="77"/>
      <c r="H34" s="98"/>
      <c r="I34" s="77"/>
      <c r="J34" s="77"/>
      <c r="K34" s="77"/>
      <c r="L34" s="77"/>
      <c r="M34" s="77"/>
    </row>
    <row r="35" spans="2:13" ht="20.25">
      <c r="B35" s="147" t="s">
        <v>142</v>
      </c>
      <c r="C35" s="147"/>
      <c r="D35" s="147"/>
      <c r="E35" s="147"/>
      <c r="F35" s="147"/>
      <c r="G35" s="147"/>
      <c r="H35" s="147"/>
      <c r="I35" s="149"/>
      <c r="J35" s="149"/>
      <c r="K35" s="149"/>
      <c r="L35" s="149"/>
      <c r="M35" s="149"/>
    </row>
    <row r="36" spans="2:13" ht="12.75">
      <c r="B36" s="99" t="s">
        <v>106</v>
      </c>
      <c r="C36" s="90" t="s">
        <v>121</v>
      </c>
      <c r="D36" s="84" t="s">
        <v>73</v>
      </c>
      <c r="E36" s="76" t="s">
        <v>74</v>
      </c>
      <c r="F36" s="76" t="s">
        <v>75</v>
      </c>
      <c r="G36" s="79" t="s">
        <v>76</v>
      </c>
      <c r="H36" s="113" t="s">
        <v>77</v>
      </c>
      <c r="I36" s="77"/>
      <c r="J36" s="77"/>
      <c r="K36" s="77"/>
      <c r="L36" s="77"/>
      <c r="M36" s="77"/>
    </row>
    <row r="37" spans="3:13" ht="12.75">
      <c r="C37" s="63"/>
      <c r="D37" s="63"/>
      <c r="E37" s="63"/>
      <c r="F37" s="63"/>
      <c r="G37" s="63"/>
      <c r="H37" s="73"/>
      <c r="I37" s="77"/>
      <c r="J37" s="77"/>
      <c r="K37" s="77"/>
      <c r="L37" s="77"/>
      <c r="M37" s="77"/>
    </row>
    <row r="38" spans="2:13" ht="25.5">
      <c r="B38" s="96" t="s">
        <v>111</v>
      </c>
      <c r="C38" s="63"/>
      <c r="D38" s="63"/>
      <c r="E38" s="63">
        <f>+D55</f>
        <v>850732.75</v>
      </c>
      <c r="F38" s="63">
        <f>+E55</f>
        <v>1490609.25</v>
      </c>
      <c r="G38" s="63">
        <f>+F55</f>
        <v>2066875.75</v>
      </c>
      <c r="H38" s="114">
        <f>+G55</f>
        <v>2601476.75</v>
      </c>
      <c r="I38" s="77"/>
      <c r="J38" s="77"/>
      <c r="K38" s="77"/>
      <c r="L38" s="77"/>
      <c r="M38" s="77"/>
    </row>
    <row r="39" spans="2:13" ht="12.75">
      <c r="B39" s="96" t="s">
        <v>90</v>
      </c>
      <c r="C39" s="63">
        <v>350000</v>
      </c>
      <c r="D39" s="63">
        <f>+C23</f>
        <v>350000</v>
      </c>
      <c r="E39" s="63"/>
      <c r="F39" s="63"/>
      <c r="G39" s="63"/>
      <c r="H39" s="114"/>
      <c r="I39" s="77"/>
      <c r="J39" s="77"/>
      <c r="K39" s="77"/>
      <c r="L39" s="77"/>
      <c r="M39" s="77"/>
    </row>
    <row r="40" spans="2:13" ht="12.75">
      <c r="B40" s="96" t="s">
        <v>108</v>
      </c>
      <c r="C40" s="63"/>
      <c r="D40" s="63">
        <f>+I6</f>
        <v>2376960</v>
      </c>
      <c r="E40" s="63">
        <f>+J6</f>
        <v>2376960</v>
      </c>
      <c r="F40" s="63">
        <f>+K6</f>
        <v>2376960</v>
      </c>
      <c r="G40" s="63">
        <f>+L6</f>
        <v>2376960</v>
      </c>
      <c r="H40" s="114">
        <f>+M6</f>
        <v>2376960</v>
      </c>
      <c r="I40" s="77"/>
      <c r="J40" s="77"/>
      <c r="K40" s="77"/>
      <c r="L40" s="77"/>
      <c r="M40" s="77"/>
    </row>
    <row r="41" spans="3:13" ht="12.75">
      <c r="C41" s="63"/>
      <c r="D41" s="63"/>
      <c r="E41" s="63"/>
      <c r="F41" s="63"/>
      <c r="G41" s="63"/>
      <c r="H41" s="114"/>
      <c r="I41" s="77"/>
      <c r="J41" s="77"/>
      <c r="K41" s="77"/>
      <c r="L41" s="77"/>
      <c r="M41" s="77"/>
    </row>
    <row r="42" spans="3:13" ht="12.75">
      <c r="C42" s="63"/>
      <c r="D42" s="63"/>
      <c r="E42" s="63"/>
      <c r="F42" s="63"/>
      <c r="G42" s="63"/>
      <c r="H42" s="114"/>
      <c r="I42" s="77"/>
      <c r="J42" s="77"/>
      <c r="K42" s="77"/>
      <c r="L42" s="77"/>
      <c r="M42" s="77"/>
    </row>
    <row r="43" spans="2:13" ht="12.75">
      <c r="B43" s="96" t="s">
        <v>91</v>
      </c>
      <c r="C43" s="63">
        <v>750000</v>
      </c>
      <c r="D43" s="63">
        <f>+C43</f>
        <v>750000</v>
      </c>
      <c r="E43" s="63"/>
      <c r="F43" s="63"/>
      <c r="G43" s="63"/>
      <c r="H43" s="114"/>
      <c r="I43" s="77"/>
      <c r="J43" s="77"/>
      <c r="K43" s="77"/>
      <c r="L43" s="77"/>
      <c r="M43" s="77"/>
    </row>
    <row r="44" spans="3:13" ht="12.75">
      <c r="C44" s="63"/>
      <c r="D44" s="63"/>
      <c r="E44" s="63"/>
      <c r="F44" s="63"/>
      <c r="G44" s="63"/>
      <c r="H44" s="114"/>
      <c r="I44" s="77"/>
      <c r="J44" s="77"/>
      <c r="K44" s="77"/>
      <c r="L44" s="77"/>
      <c r="M44" s="77"/>
    </row>
    <row r="45" spans="2:13" ht="12.75">
      <c r="B45" s="99"/>
      <c r="C45" s="118">
        <f>+C39+C43</f>
        <v>1100000</v>
      </c>
      <c r="D45" s="118">
        <f>SUM(D39:D44)</f>
        <v>3476960</v>
      </c>
      <c r="E45" s="118">
        <f>SUM(E38:E44)</f>
        <v>3227692.75</v>
      </c>
      <c r="F45" s="118">
        <f>SUM(F38:F44)</f>
        <v>3867569.25</v>
      </c>
      <c r="G45" s="118">
        <f>SUM(G38:G44)</f>
        <v>4443835.75</v>
      </c>
      <c r="H45" s="152">
        <f>SUM(H38:H44)</f>
        <v>4978436.75</v>
      </c>
      <c r="I45" s="77"/>
      <c r="J45" s="77"/>
      <c r="K45" s="77"/>
      <c r="L45" s="77"/>
      <c r="M45" s="77"/>
    </row>
    <row r="46" spans="2:13" ht="12.75">
      <c r="B46" s="99" t="s">
        <v>107</v>
      </c>
      <c r="C46" s="76"/>
      <c r="D46" s="76"/>
      <c r="E46" s="76"/>
      <c r="F46" s="76"/>
      <c r="G46" s="76"/>
      <c r="H46" s="113"/>
      <c r="I46" s="77"/>
      <c r="J46" s="77"/>
      <c r="K46" s="77"/>
      <c r="L46" s="77"/>
      <c r="M46" s="77"/>
    </row>
    <row r="47" spans="3:13" ht="12.75">
      <c r="C47" s="63"/>
      <c r="D47" s="63"/>
      <c r="E47" s="63"/>
      <c r="F47" s="63"/>
      <c r="G47" s="63"/>
      <c r="H47" s="114"/>
      <c r="I47" s="77"/>
      <c r="J47" s="77"/>
      <c r="K47" s="77"/>
      <c r="L47" s="77"/>
      <c r="M47" s="77"/>
    </row>
    <row r="48" spans="2:13" ht="25.5">
      <c r="B48" s="96" t="s">
        <v>109</v>
      </c>
      <c r="C48" s="63"/>
      <c r="D48" s="150">
        <f>+D92+D93</f>
        <v>93750</v>
      </c>
      <c r="E48" s="150">
        <f>+D96+D97+D98+D99</f>
        <v>187500</v>
      </c>
      <c r="F48" s="150">
        <f>+D102+D103+D104+D105</f>
        <v>187500</v>
      </c>
      <c r="G48" s="117">
        <f>+D108+D109+D110+D111</f>
        <v>187500</v>
      </c>
      <c r="H48" s="151">
        <f>+D114+D115</f>
        <v>93750</v>
      </c>
      <c r="I48" s="77"/>
      <c r="J48" s="77"/>
      <c r="K48" s="77"/>
      <c r="L48" s="77"/>
      <c r="M48" s="77"/>
    </row>
    <row r="49" spans="2:13" ht="12.75">
      <c r="B49" s="96" t="s">
        <v>92</v>
      </c>
      <c r="C49" s="63">
        <v>1000000</v>
      </c>
      <c r="D49" s="150">
        <f>+C49</f>
        <v>1000000</v>
      </c>
      <c r="E49" s="150">
        <f>+I23-J23</f>
        <v>0</v>
      </c>
      <c r="F49" s="150">
        <f>+J23-K23</f>
        <v>0</v>
      </c>
      <c r="G49" s="150">
        <f>+K23-L23</f>
        <v>0</v>
      </c>
      <c r="H49" s="151">
        <f>+L23-M23</f>
        <v>0</v>
      </c>
      <c r="I49" s="77"/>
      <c r="J49" s="77"/>
      <c r="K49" s="77"/>
      <c r="L49" s="77"/>
      <c r="M49" s="77"/>
    </row>
    <row r="50" spans="2:13" ht="25.5">
      <c r="B50" s="96" t="str">
        <f>+H26</f>
        <v>DEPOSITS WITH LANDLORD</v>
      </c>
      <c r="C50" s="63">
        <v>45000</v>
      </c>
      <c r="D50" s="150">
        <f>+I26</f>
        <v>45000</v>
      </c>
      <c r="E50" s="150">
        <f>+D50-J26</f>
        <v>0</v>
      </c>
      <c r="F50" s="150">
        <f>+K26-J26</f>
        <v>0</v>
      </c>
      <c r="G50" s="150">
        <f>+L26-K26</f>
        <v>0</v>
      </c>
      <c r="H50" s="151">
        <f>+M26-L26</f>
        <v>0</v>
      </c>
      <c r="I50" s="77"/>
      <c r="J50" s="77"/>
      <c r="K50" s="77"/>
      <c r="L50" s="77"/>
      <c r="M50" s="77"/>
    </row>
    <row r="51" spans="2:13" ht="12.75">
      <c r="B51" s="96" t="s">
        <v>110</v>
      </c>
      <c r="C51" s="63"/>
      <c r="D51" s="150">
        <f>SUM(C6:C14)-C13</f>
        <v>1249781.25</v>
      </c>
      <c r="E51" s="150">
        <f>SUM(D6:D14)-D13</f>
        <v>1311887.5</v>
      </c>
      <c r="F51" s="150">
        <f>SUM(E6:E14)-E13</f>
        <v>1375497.5</v>
      </c>
      <c r="G51" s="150">
        <f>SUM(F6:F14)-F13</f>
        <v>1417163</v>
      </c>
      <c r="H51" s="151">
        <f>SUM(G6:G14)-G13</f>
        <v>1464849.2750000001</v>
      </c>
      <c r="I51" s="77"/>
      <c r="J51" s="77"/>
      <c r="K51" s="77"/>
      <c r="L51" s="77"/>
      <c r="M51" s="77"/>
    </row>
    <row r="52" spans="2:13" ht="25.5">
      <c r="B52" s="96" t="str">
        <f>+B15</f>
        <v>Deduction due to droppage</v>
      </c>
      <c r="C52" s="63"/>
      <c r="D52" s="150">
        <f>+C15</f>
        <v>237696</v>
      </c>
      <c r="E52" s="150">
        <f>+D15</f>
        <v>237696</v>
      </c>
      <c r="F52" s="150">
        <f>+E15</f>
        <v>237696</v>
      </c>
      <c r="G52" s="150">
        <f>+F15</f>
        <v>237696</v>
      </c>
      <c r="H52" s="150">
        <f>+G15</f>
        <v>237696</v>
      </c>
      <c r="I52" s="77"/>
      <c r="J52" s="77"/>
      <c r="K52" s="77"/>
      <c r="L52" s="77"/>
      <c r="M52" s="77"/>
    </row>
    <row r="53" spans="3:13" ht="12.75">
      <c r="C53" s="63"/>
      <c r="D53" s="150"/>
      <c r="E53" s="150"/>
      <c r="F53" s="150"/>
      <c r="G53" s="150"/>
      <c r="H53" s="151"/>
      <c r="I53" s="77"/>
      <c r="J53" s="77"/>
      <c r="K53" s="77"/>
      <c r="L53" s="77"/>
      <c r="M53" s="77"/>
    </row>
    <row r="54" spans="2:13" ht="12.75">
      <c r="B54" s="99"/>
      <c r="C54" s="76">
        <f>+C49+C50</f>
        <v>1045000</v>
      </c>
      <c r="D54" s="118">
        <f>SUM(D48:D53)</f>
        <v>2626227.25</v>
      </c>
      <c r="E54" s="118">
        <f>SUM(E48:E53)</f>
        <v>1737083.5</v>
      </c>
      <c r="F54" s="118">
        <f>SUM(F48:F53)</f>
        <v>1800693.5</v>
      </c>
      <c r="G54" s="118">
        <f>SUM(G48:G53)</f>
        <v>1842359</v>
      </c>
      <c r="H54" s="152">
        <f>SUM(H48:H53)</f>
        <v>1796295.2750000001</v>
      </c>
      <c r="I54" s="77"/>
      <c r="J54" s="77"/>
      <c r="K54" s="77"/>
      <c r="L54" s="77"/>
      <c r="M54" s="77"/>
    </row>
    <row r="55" spans="2:13" ht="25.5">
      <c r="B55" s="73" t="s">
        <v>104</v>
      </c>
      <c r="C55" s="63">
        <f aca="true" t="shared" si="2" ref="C55:H55">+C45-C54</f>
        <v>55000</v>
      </c>
      <c r="D55" s="150">
        <f t="shared" si="2"/>
        <v>850732.75</v>
      </c>
      <c r="E55" s="150">
        <f t="shared" si="2"/>
        <v>1490609.25</v>
      </c>
      <c r="F55" s="150">
        <f t="shared" si="2"/>
        <v>2066875.75</v>
      </c>
      <c r="G55" s="150">
        <f t="shared" si="2"/>
        <v>2601476.75</v>
      </c>
      <c r="H55" s="151">
        <f t="shared" si="2"/>
        <v>3182141.4749999996</v>
      </c>
      <c r="I55" s="77"/>
      <c r="J55" s="77"/>
      <c r="K55" s="77"/>
      <c r="L55" s="77"/>
      <c r="M55" s="77"/>
    </row>
    <row r="56" spans="2:13" ht="12.75">
      <c r="B56" s="73"/>
      <c r="C56" s="63"/>
      <c r="D56" s="150">
        <f>+I27</f>
        <v>850732.75</v>
      </c>
      <c r="E56" s="150">
        <f>+J27</f>
        <v>1490609.25</v>
      </c>
      <c r="F56" s="150">
        <f>+K27</f>
        <v>2066875.75</v>
      </c>
      <c r="G56" s="150">
        <f>+L27</f>
        <v>2601476.75</v>
      </c>
      <c r="H56" s="151">
        <f>+M27</f>
        <v>3182141.4749999996</v>
      </c>
      <c r="I56" s="77"/>
      <c r="J56" s="77"/>
      <c r="K56" s="77"/>
      <c r="L56" s="77"/>
      <c r="M56" s="77"/>
    </row>
    <row r="57" spans="3:8" ht="12.75">
      <c r="C57" s="63"/>
      <c r="D57" s="63"/>
      <c r="E57" s="63"/>
      <c r="F57" s="63"/>
      <c r="G57" s="63"/>
      <c r="H57" s="73"/>
    </row>
    <row r="58" spans="3:13" ht="12.75">
      <c r="C58" s="63"/>
      <c r="D58" s="63"/>
      <c r="E58" s="63"/>
      <c r="F58" s="63"/>
      <c r="G58" s="63"/>
      <c r="H58" s="74"/>
      <c r="I58" s="58"/>
      <c r="J58" s="58"/>
      <c r="K58" s="58"/>
      <c r="L58" s="58"/>
      <c r="M58" s="58"/>
    </row>
    <row r="59" spans="2:13" ht="25.5">
      <c r="B59" s="100" t="s">
        <v>97</v>
      </c>
      <c r="C59" s="89"/>
      <c r="D59" s="89"/>
      <c r="E59" s="89"/>
      <c r="F59" s="89"/>
      <c r="G59" s="154"/>
      <c r="H59" s="115"/>
      <c r="I59" s="58"/>
      <c r="J59" s="58"/>
      <c r="K59" s="58"/>
      <c r="L59" s="58"/>
      <c r="M59" s="58"/>
    </row>
    <row r="60" spans="2:13" ht="25.5">
      <c r="B60" s="101" t="s">
        <v>122</v>
      </c>
      <c r="C60" s="63"/>
      <c r="D60" s="85">
        <v>30.95</v>
      </c>
      <c r="E60" s="63" t="s">
        <v>98</v>
      </c>
      <c r="F60" s="63"/>
      <c r="G60" s="148"/>
      <c r="H60" s="73"/>
      <c r="I60" s="58"/>
      <c r="J60" s="58"/>
      <c r="K60" s="58"/>
      <c r="L60" s="58"/>
      <c r="M60" s="58"/>
    </row>
    <row r="61" spans="2:13" ht="12.75">
      <c r="B61" s="74" t="s">
        <v>99</v>
      </c>
      <c r="C61" s="63"/>
      <c r="D61" s="85">
        <v>240</v>
      </c>
      <c r="E61" s="63">
        <v>240</v>
      </c>
      <c r="F61" s="63"/>
      <c r="G61" s="148"/>
      <c r="H61" s="73"/>
      <c r="I61" s="58"/>
      <c r="J61" s="58"/>
      <c r="K61" s="58"/>
      <c r="L61" s="58"/>
      <c r="M61" s="58"/>
    </row>
    <row r="62" spans="2:13" ht="12.75">
      <c r="B62" s="74" t="s">
        <v>100</v>
      </c>
      <c r="C62" s="63"/>
      <c r="D62" s="85">
        <f>+D60*D61</f>
        <v>7428</v>
      </c>
      <c r="E62" s="63">
        <v>7428</v>
      </c>
      <c r="F62" s="63"/>
      <c r="G62" s="148"/>
      <c r="H62" s="73"/>
      <c r="I62" s="58"/>
      <c r="J62" s="58"/>
      <c r="K62" s="58"/>
      <c r="L62" s="58"/>
      <c r="M62" s="58"/>
    </row>
    <row r="63" spans="2:13" ht="12.75">
      <c r="B63" s="74" t="s">
        <v>102</v>
      </c>
      <c r="C63" s="63"/>
      <c r="D63" s="85">
        <v>20</v>
      </c>
      <c r="E63" s="63">
        <v>30</v>
      </c>
      <c r="F63" s="63"/>
      <c r="G63" s="148"/>
      <c r="H63" s="73"/>
      <c r="I63" s="58"/>
      <c r="J63" s="58"/>
      <c r="K63" s="58"/>
      <c r="L63" s="58"/>
      <c r="M63" s="58"/>
    </row>
    <row r="64" spans="2:13" ht="12.75">
      <c r="B64" s="74" t="s">
        <v>101</v>
      </c>
      <c r="C64" s="63"/>
      <c r="D64" s="85">
        <f>+D62*D63</f>
        <v>148560</v>
      </c>
      <c r="E64" s="63">
        <f>+E62*E63</f>
        <v>222840</v>
      </c>
      <c r="F64" s="63"/>
      <c r="G64" s="148"/>
      <c r="H64" s="73"/>
      <c r="I64" s="58"/>
      <c r="J64" s="58"/>
      <c r="K64" s="58"/>
      <c r="L64" s="58"/>
      <c r="M64" s="58"/>
    </row>
    <row r="65" spans="2:13" ht="43.5" customHeight="1">
      <c r="B65" s="74" t="s">
        <v>103</v>
      </c>
      <c r="C65" s="73" t="s">
        <v>146</v>
      </c>
      <c r="D65" s="85">
        <v>16</v>
      </c>
      <c r="E65" s="63">
        <v>16</v>
      </c>
      <c r="F65" s="63"/>
      <c r="G65" s="148"/>
      <c r="H65" s="73"/>
      <c r="I65" s="58"/>
      <c r="J65" s="58"/>
      <c r="K65" s="58"/>
      <c r="L65" s="58"/>
      <c r="M65" s="58"/>
    </row>
    <row r="66" spans="2:13" ht="12.75">
      <c r="B66" s="101" t="s">
        <v>115</v>
      </c>
      <c r="C66" s="63"/>
      <c r="D66" s="85">
        <f>+D64*D65</f>
        <v>2376960</v>
      </c>
      <c r="E66" s="63">
        <f>+E64*E65</f>
        <v>3565440</v>
      </c>
      <c r="F66" s="63"/>
      <c r="G66" s="148"/>
      <c r="H66" s="73"/>
      <c r="I66" s="58"/>
      <c r="J66" s="58"/>
      <c r="K66" s="58"/>
      <c r="L66" s="58"/>
      <c r="M66" s="58"/>
    </row>
    <row r="67" spans="2:13" ht="12.75">
      <c r="B67" s="74"/>
      <c r="C67" s="63"/>
      <c r="D67" s="85"/>
      <c r="E67" s="63"/>
      <c r="F67" s="63"/>
      <c r="G67" s="148"/>
      <c r="H67" s="73"/>
      <c r="I67" s="58"/>
      <c r="J67" s="58"/>
      <c r="K67" s="58"/>
      <c r="L67" s="58"/>
      <c r="M67" s="58"/>
    </row>
    <row r="68" spans="2:13" ht="12.75">
      <c r="B68" s="74"/>
      <c r="C68" s="63"/>
      <c r="D68" s="85"/>
      <c r="E68" s="63"/>
      <c r="F68" s="63"/>
      <c r="G68" s="148"/>
      <c r="H68" s="73"/>
      <c r="I68" s="58"/>
      <c r="J68" s="58"/>
      <c r="K68" s="58"/>
      <c r="L68" s="58"/>
      <c r="M68" s="58"/>
    </row>
    <row r="69" spans="2:13" ht="12.75">
      <c r="B69" s="102" t="s">
        <v>145</v>
      </c>
      <c r="C69" s="141" t="s">
        <v>157</v>
      </c>
      <c r="D69" s="142" t="s">
        <v>158</v>
      </c>
      <c r="E69" s="81"/>
      <c r="F69" s="81"/>
      <c r="G69" s="81"/>
      <c r="H69" s="115"/>
      <c r="I69" s="58"/>
      <c r="J69" s="58"/>
      <c r="K69" s="58"/>
      <c r="L69" s="58"/>
      <c r="M69" s="58"/>
    </row>
    <row r="70" spans="3:13" ht="12.75">
      <c r="C70" s="63"/>
      <c r="H70" s="73"/>
      <c r="I70" s="58"/>
      <c r="J70" s="58"/>
      <c r="K70" s="58"/>
      <c r="L70" s="58"/>
      <c r="M70" s="58"/>
    </row>
    <row r="71" spans="2:13" ht="38.25">
      <c r="B71" s="103" t="s">
        <v>38</v>
      </c>
      <c r="C71" s="63">
        <v>1</v>
      </c>
      <c r="D71" s="86">
        <v>12000</v>
      </c>
      <c r="E71" s="83"/>
      <c r="F71" s="83"/>
      <c r="G71" s="155"/>
      <c r="H71" s="73"/>
      <c r="I71" s="58"/>
      <c r="J71" s="58"/>
      <c r="K71" s="58"/>
      <c r="L71" s="58"/>
      <c r="M71" s="58"/>
    </row>
    <row r="72" spans="2:13" ht="25.5">
      <c r="B72" s="103" t="s">
        <v>39</v>
      </c>
      <c r="C72" s="63">
        <v>1</v>
      </c>
      <c r="D72" s="86">
        <v>10000</v>
      </c>
      <c r="E72" s="83"/>
      <c r="F72" s="83"/>
      <c r="G72" s="155"/>
      <c r="H72" s="73"/>
      <c r="I72" s="58"/>
      <c r="J72" s="58"/>
      <c r="K72" s="58"/>
      <c r="L72" s="58"/>
      <c r="M72" s="58"/>
    </row>
    <row r="73" spans="2:13" ht="12.75">
      <c r="B73" s="103" t="s">
        <v>143</v>
      </c>
      <c r="C73" s="63">
        <v>1</v>
      </c>
      <c r="D73" s="86">
        <v>15000</v>
      </c>
      <c r="E73" s="83"/>
      <c r="F73" s="83"/>
      <c r="G73" s="155"/>
      <c r="H73" s="73"/>
      <c r="I73" s="58"/>
      <c r="J73" s="58"/>
      <c r="K73" s="58"/>
      <c r="L73" s="58"/>
      <c r="M73" s="58"/>
    </row>
    <row r="74" spans="2:13" ht="12.75">
      <c r="B74" s="103" t="s">
        <v>119</v>
      </c>
      <c r="C74" s="63">
        <v>1</v>
      </c>
      <c r="D74" s="86">
        <v>8000</v>
      </c>
      <c r="E74" s="83"/>
      <c r="F74" s="83"/>
      <c r="G74" s="155"/>
      <c r="H74" s="73"/>
      <c r="I74" s="58"/>
      <c r="J74" s="58"/>
      <c r="K74" s="58"/>
      <c r="L74" s="58"/>
      <c r="M74" s="58"/>
    </row>
    <row r="75" spans="2:13" ht="12.75">
      <c r="B75" s="103" t="s">
        <v>159</v>
      </c>
      <c r="C75" s="63">
        <v>1</v>
      </c>
      <c r="D75" s="86">
        <v>8000</v>
      </c>
      <c r="E75" s="83"/>
      <c r="F75" s="83"/>
      <c r="G75" s="155"/>
      <c r="H75" s="73"/>
      <c r="I75" s="58"/>
      <c r="J75" s="58"/>
      <c r="K75" s="58"/>
      <c r="L75" s="58"/>
      <c r="M75" s="58"/>
    </row>
    <row r="76" spans="2:13" ht="25.5">
      <c r="B76" s="103" t="s">
        <v>120</v>
      </c>
      <c r="C76" s="63">
        <v>1</v>
      </c>
      <c r="D76" s="86">
        <v>4000</v>
      </c>
      <c r="E76" s="83"/>
      <c r="F76" s="83"/>
      <c r="G76" s="155"/>
      <c r="H76" s="73"/>
      <c r="I76" s="58"/>
      <c r="J76" s="58"/>
      <c r="K76" s="58"/>
      <c r="L76" s="58"/>
      <c r="M76" s="58"/>
    </row>
    <row r="77" spans="2:13" ht="12.75">
      <c r="B77" s="103"/>
      <c r="C77" s="63"/>
      <c r="D77" s="86">
        <f>SUM(D71:D76)</f>
        <v>57000</v>
      </c>
      <c r="E77" s="83">
        <v>12</v>
      </c>
      <c r="F77" s="83">
        <f>+D77*E77</f>
        <v>684000</v>
      </c>
      <c r="G77" s="155"/>
      <c r="H77" s="73"/>
      <c r="I77" s="58"/>
      <c r="J77" s="58"/>
      <c r="K77" s="58"/>
      <c r="L77" s="58"/>
      <c r="M77" s="58"/>
    </row>
    <row r="78" spans="2:13" ht="12.75">
      <c r="B78" s="103"/>
      <c r="C78" s="63"/>
      <c r="D78" s="86"/>
      <c r="E78" s="83"/>
      <c r="F78" s="83"/>
      <c r="G78" s="155"/>
      <c r="H78" s="73"/>
      <c r="I78" s="58"/>
      <c r="J78" s="58"/>
      <c r="K78" s="58"/>
      <c r="L78" s="58"/>
      <c r="M78" s="58"/>
    </row>
    <row r="79" spans="2:13" ht="38.25">
      <c r="B79" s="103" t="s">
        <v>28</v>
      </c>
      <c r="C79" s="63"/>
      <c r="D79" s="86">
        <v>10000</v>
      </c>
      <c r="E79" s="83">
        <v>12</v>
      </c>
      <c r="F79" s="83">
        <f>+D79*E79</f>
        <v>120000</v>
      </c>
      <c r="G79" s="155"/>
      <c r="H79" s="73"/>
      <c r="I79" s="58"/>
      <c r="J79" s="58"/>
      <c r="K79" s="58"/>
      <c r="L79" s="58"/>
      <c r="M79" s="58"/>
    </row>
    <row r="80" spans="2:13" ht="12.75">
      <c r="B80" s="103" t="s">
        <v>41</v>
      </c>
      <c r="C80" s="63"/>
      <c r="D80" s="86">
        <v>8000</v>
      </c>
      <c r="E80" s="83">
        <v>12</v>
      </c>
      <c r="F80" s="83">
        <f>+D80*E80</f>
        <v>96000</v>
      </c>
      <c r="G80" s="155"/>
      <c r="H80" s="73"/>
      <c r="I80" s="58"/>
      <c r="J80" s="58"/>
      <c r="K80" s="58"/>
      <c r="L80" s="58"/>
      <c r="M80" s="58"/>
    </row>
    <row r="81" spans="2:13" ht="25.5">
      <c r="B81" s="103" t="s">
        <v>27</v>
      </c>
      <c r="C81" s="63"/>
      <c r="D81" s="86">
        <v>12000</v>
      </c>
      <c r="E81" s="83">
        <v>12</v>
      </c>
      <c r="F81" s="83">
        <f>+D81*E81</f>
        <v>144000</v>
      </c>
      <c r="G81" s="155"/>
      <c r="H81" s="73"/>
      <c r="I81" s="58"/>
      <c r="J81" s="58"/>
      <c r="K81" s="58"/>
      <c r="L81" s="58"/>
      <c r="M81" s="58"/>
    </row>
    <row r="82" spans="3:13" ht="12.75">
      <c r="C82" s="63"/>
      <c r="D82" s="86"/>
      <c r="E82" s="83"/>
      <c r="F82" s="83"/>
      <c r="G82" s="155"/>
      <c r="H82" s="73"/>
      <c r="I82" s="58"/>
      <c r="J82" s="58"/>
      <c r="K82" s="58"/>
      <c r="L82" s="58"/>
      <c r="M82" s="58"/>
    </row>
    <row r="83" spans="2:13" ht="12.75">
      <c r="B83" s="103" t="s">
        <v>26</v>
      </c>
      <c r="C83" s="63"/>
      <c r="D83" s="87">
        <f>+D77+D79+D80+D81</f>
        <v>87000</v>
      </c>
      <c r="E83" s="83"/>
      <c r="F83" s="83"/>
      <c r="G83" s="155"/>
      <c r="H83" s="73"/>
      <c r="I83" s="58"/>
      <c r="J83" s="58"/>
      <c r="K83" s="58"/>
      <c r="L83" s="58"/>
      <c r="M83" s="58"/>
    </row>
    <row r="84" spans="2:13" ht="12.75">
      <c r="B84" s="74"/>
      <c r="C84" s="63"/>
      <c r="D84" s="85"/>
      <c r="E84" s="63"/>
      <c r="F84" s="63"/>
      <c r="G84" s="63"/>
      <c r="H84" s="74"/>
      <c r="I84" s="58"/>
      <c r="J84" s="58"/>
      <c r="K84" s="58"/>
      <c r="L84" s="58"/>
      <c r="M84" s="58"/>
    </row>
    <row r="85" spans="3:13" ht="12.75">
      <c r="C85" s="63"/>
      <c r="I85" s="58"/>
      <c r="J85" s="58"/>
      <c r="K85" s="58"/>
      <c r="L85" s="58"/>
      <c r="M85" s="58"/>
    </row>
    <row r="86" spans="2:13" ht="25.5">
      <c r="B86" s="105" t="s">
        <v>117</v>
      </c>
      <c r="C86" s="90" t="s">
        <v>127</v>
      </c>
      <c r="D86" s="91" t="s">
        <v>124</v>
      </c>
      <c r="E86" s="90" t="s">
        <v>144</v>
      </c>
      <c r="F86" s="90" t="s">
        <v>126</v>
      </c>
      <c r="G86" s="76"/>
      <c r="H86" s="153"/>
      <c r="I86" s="58"/>
      <c r="J86" s="58"/>
      <c r="K86" s="58"/>
      <c r="L86" s="58"/>
      <c r="M86" s="58"/>
    </row>
    <row r="87" spans="2:13" ht="12.75">
      <c r="B87" s="73"/>
      <c r="D87" s="63"/>
      <c r="E87" s="63"/>
      <c r="F87" s="63"/>
      <c r="G87" s="63"/>
      <c r="H87" s="106"/>
      <c r="I87" s="58"/>
      <c r="J87" s="58"/>
      <c r="K87" s="58"/>
      <c r="L87" s="58"/>
      <c r="M87" s="58"/>
    </row>
    <row r="88" spans="2:13" ht="12.75">
      <c r="B88" s="72" t="s">
        <v>123</v>
      </c>
      <c r="C88" s="63">
        <f>+C43</f>
        <v>750000</v>
      </c>
      <c r="D88" s="63">
        <v>0</v>
      </c>
      <c r="E88" s="63"/>
      <c r="F88" s="63"/>
      <c r="G88" s="63"/>
      <c r="H88" s="106"/>
      <c r="I88" s="58"/>
      <c r="J88" s="58"/>
      <c r="K88" s="58"/>
      <c r="L88" s="58"/>
      <c r="M88" s="58"/>
    </row>
    <row r="89" spans="2:13" ht="12.75">
      <c r="B89" s="72" t="s">
        <v>128</v>
      </c>
      <c r="C89" s="63"/>
      <c r="D89" s="63"/>
      <c r="E89" s="63"/>
      <c r="F89" s="63"/>
      <c r="G89" s="63"/>
      <c r="H89" s="106"/>
      <c r="I89" s="58"/>
      <c r="J89" s="58"/>
      <c r="K89" s="58"/>
      <c r="L89" s="58"/>
      <c r="M89" s="58"/>
    </row>
    <row r="90" spans="2:13" ht="12.75">
      <c r="B90" s="72" t="s">
        <v>132</v>
      </c>
      <c r="C90" s="63">
        <f>C88</f>
        <v>750000</v>
      </c>
      <c r="D90" s="63">
        <v>0</v>
      </c>
      <c r="E90" s="63">
        <f>C90-D90</f>
        <v>750000</v>
      </c>
      <c r="F90" s="63">
        <f>+E90*0.12/4</f>
        <v>22500</v>
      </c>
      <c r="G90" s="63"/>
      <c r="H90" s="106"/>
      <c r="I90" s="58"/>
      <c r="J90" s="58"/>
      <c r="K90" s="58"/>
      <c r="L90" s="58"/>
      <c r="M90" s="58"/>
    </row>
    <row r="91" spans="2:13" ht="12.75">
      <c r="B91" s="72" t="s">
        <v>133</v>
      </c>
      <c r="C91" s="63">
        <f>E90</f>
        <v>750000</v>
      </c>
      <c r="D91" s="63">
        <v>0</v>
      </c>
      <c r="E91" s="63">
        <f>C91-D91</f>
        <v>750000</v>
      </c>
      <c r="F91" s="63">
        <f>+E91*0.12/4</f>
        <v>22500</v>
      </c>
      <c r="G91" s="63"/>
      <c r="H91" s="106"/>
      <c r="I91" s="58"/>
      <c r="J91" s="58"/>
      <c r="K91" s="58"/>
      <c r="L91" s="58"/>
      <c r="M91" s="58"/>
    </row>
    <row r="92" spans="2:13" ht="12.75">
      <c r="B92" s="72" t="s">
        <v>134</v>
      </c>
      <c r="C92" s="63">
        <f>E91</f>
        <v>750000</v>
      </c>
      <c r="D92" s="63">
        <f>+C88/16</f>
        <v>46875</v>
      </c>
      <c r="E92" s="63">
        <f>C92-D92</f>
        <v>703125</v>
      </c>
      <c r="F92" s="63">
        <f>+E92*0.12/4</f>
        <v>21093.75</v>
      </c>
      <c r="G92" s="63"/>
      <c r="H92" s="106"/>
      <c r="I92" s="58"/>
      <c r="J92" s="58"/>
      <c r="K92" s="58"/>
      <c r="L92" s="58"/>
      <c r="M92" s="58"/>
    </row>
    <row r="93" spans="2:13" ht="12.75">
      <c r="B93" s="72" t="s">
        <v>135</v>
      </c>
      <c r="C93" s="63">
        <f>E92</f>
        <v>703125</v>
      </c>
      <c r="D93" s="63">
        <f>+D92</f>
        <v>46875</v>
      </c>
      <c r="E93" s="63">
        <f>C93-D93</f>
        <v>656250</v>
      </c>
      <c r="F93" s="63">
        <f>+E93*0.12/4</f>
        <v>19687.5</v>
      </c>
      <c r="G93" s="63">
        <f>SUM(F90:F93)</f>
        <v>85781.25</v>
      </c>
      <c r="H93" s="106"/>
      <c r="I93" s="58"/>
      <c r="J93" s="58"/>
      <c r="K93" s="58"/>
      <c r="L93" s="58"/>
      <c r="M93" s="58"/>
    </row>
    <row r="94" spans="2:13" ht="12.75">
      <c r="B94" s="72"/>
      <c r="C94" s="63"/>
      <c r="D94" s="63"/>
      <c r="E94" s="63"/>
      <c r="F94" s="63"/>
      <c r="G94" s="63"/>
      <c r="H94" s="106"/>
      <c r="I94" s="58"/>
      <c r="J94" s="58"/>
      <c r="K94" s="58"/>
      <c r="L94" s="58"/>
      <c r="M94" s="58"/>
    </row>
    <row r="95" spans="2:13" ht="12.75">
      <c r="B95" s="72" t="s">
        <v>136</v>
      </c>
      <c r="C95" s="63"/>
      <c r="D95" s="63"/>
      <c r="E95" s="63"/>
      <c r="F95" s="63"/>
      <c r="G95" s="63"/>
      <c r="H95" s="106"/>
      <c r="I95" s="58"/>
      <c r="J95" s="58"/>
      <c r="K95" s="58"/>
      <c r="L95" s="58"/>
      <c r="M95" s="58"/>
    </row>
    <row r="96" spans="2:13" ht="12.75">
      <c r="B96" s="72" t="s">
        <v>132</v>
      </c>
      <c r="C96" s="63">
        <f>+E93</f>
        <v>656250</v>
      </c>
      <c r="D96" s="63">
        <f>+D93</f>
        <v>46875</v>
      </c>
      <c r="E96" s="63">
        <f>C96-D96</f>
        <v>609375</v>
      </c>
      <c r="F96" s="63">
        <f>+E96*0.12/4</f>
        <v>18281.25</v>
      </c>
      <c r="G96" s="63"/>
      <c r="H96" s="106"/>
      <c r="I96" s="58"/>
      <c r="J96" s="58"/>
      <c r="K96" s="58"/>
      <c r="L96" s="58"/>
      <c r="M96" s="58"/>
    </row>
    <row r="97" spans="2:13" ht="12.75">
      <c r="B97" s="72" t="s">
        <v>133</v>
      </c>
      <c r="C97" s="63">
        <f>E96</f>
        <v>609375</v>
      </c>
      <c r="D97" s="63">
        <f>+D96</f>
        <v>46875</v>
      </c>
      <c r="E97" s="63">
        <f>C97-D97</f>
        <v>562500</v>
      </c>
      <c r="F97" s="63">
        <f>+E97*0.12/4</f>
        <v>16875</v>
      </c>
      <c r="G97" s="63"/>
      <c r="H97" s="106"/>
      <c r="I97" s="58"/>
      <c r="J97" s="58"/>
      <c r="K97" s="58"/>
      <c r="L97" s="58"/>
      <c r="M97" s="58"/>
    </row>
    <row r="98" spans="2:13" ht="12.75">
      <c r="B98" s="72" t="s">
        <v>134</v>
      </c>
      <c r="C98" s="63">
        <f>+E97</f>
        <v>562500</v>
      </c>
      <c r="D98" s="63">
        <f>+D97</f>
        <v>46875</v>
      </c>
      <c r="E98" s="63">
        <f>C98-D98</f>
        <v>515625</v>
      </c>
      <c r="F98" s="63">
        <f>+E98*0.12/4</f>
        <v>15468.75</v>
      </c>
      <c r="G98" s="63"/>
      <c r="H98" s="106"/>
      <c r="I98" s="58"/>
      <c r="J98" s="58"/>
      <c r="K98" s="58"/>
      <c r="L98" s="58"/>
      <c r="M98" s="58"/>
    </row>
    <row r="99" spans="2:13" ht="12.75">
      <c r="B99" s="72" t="s">
        <v>135</v>
      </c>
      <c r="C99" s="63">
        <f>+E98</f>
        <v>515625</v>
      </c>
      <c r="D99" s="63">
        <f>+D98</f>
        <v>46875</v>
      </c>
      <c r="E99" s="63">
        <f>C99-D99</f>
        <v>468750</v>
      </c>
      <c r="F99" s="63">
        <f>+E99*0.12/4</f>
        <v>14062.5</v>
      </c>
      <c r="G99" s="63">
        <f>SUM(F96:F99)</f>
        <v>64687.5</v>
      </c>
      <c r="H99" s="106"/>
      <c r="I99" s="58"/>
      <c r="J99" s="58"/>
      <c r="K99" s="58"/>
      <c r="L99" s="58"/>
      <c r="M99" s="58"/>
    </row>
    <row r="100" spans="2:13" ht="12.75">
      <c r="B100" s="72"/>
      <c r="C100" s="63"/>
      <c r="D100" s="63"/>
      <c r="E100" s="63"/>
      <c r="F100" s="63"/>
      <c r="G100" s="63"/>
      <c r="H100" s="106"/>
      <c r="I100" s="58"/>
      <c r="J100" s="58"/>
      <c r="K100" s="58"/>
      <c r="L100" s="58"/>
      <c r="M100" s="58"/>
    </row>
    <row r="101" spans="2:13" ht="12.75">
      <c r="B101" s="72" t="s">
        <v>75</v>
      </c>
      <c r="C101" s="63"/>
      <c r="D101" s="63"/>
      <c r="E101" s="63"/>
      <c r="F101" s="63"/>
      <c r="G101" s="63"/>
      <c r="H101" s="106"/>
      <c r="I101" s="58"/>
      <c r="J101" s="58"/>
      <c r="K101" s="58"/>
      <c r="L101" s="58"/>
      <c r="M101" s="58"/>
    </row>
    <row r="102" spans="2:13" ht="12.75">
      <c r="B102" s="72" t="s">
        <v>132</v>
      </c>
      <c r="C102" s="63">
        <f>+E99</f>
        <v>468750</v>
      </c>
      <c r="D102" s="63">
        <f>+D99</f>
        <v>46875</v>
      </c>
      <c r="E102" s="63">
        <f>C102-D102</f>
        <v>421875</v>
      </c>
      <c r="F102" s="63">
        <f>+E102*0.12/4</f>
        <v>12656.25</v>
      </c>
      <c r="G102" s="63"/>
      <c r="H102" s="106"/>
      <c r="I102" s="58"/>
      <c r="J102" s="58"/>
      <c r="K102" s="58"/>
      <c r="L102" s="58"/>
      <c r="M102" s="58"/>
    </row>
    <row r="103" spans="2:13" ht="12.75">
      <c r="B103" s="72" t="s">
        <v>133</v>
      </c>
      <c r="C103" s="63">
        <f>+E102</f>
        <v>421875</v>
      </c>
      <c r="D103" s="63">
        <f>+D102</f>
        <v>46875</v>
      </c>
      <c r="E103" s="63">
        <f>C103-D103</f>
        <v>375000</v>
      </c>
      <c r="F103" s="63">
        <f>+E103*0.12/4</f>
        <v>11250</v>
      </c>
      <c r="G103" s="63"/>
      <c r="H103" s="106"/>
      <c r="I103" s="58"/>
      <c r="J103" s="58"/>
      <c r="K103" s="58"/>
      <c r="L103" s="58"/>
      <c r="M103" s="58"/>
    </row>
    <row r="104" spans="2:13" ht="12.75">
      <c r="B104" s="72" t="s">
        <v>134</v>
      </c>
      <c r="C104" s="63">
        <f>+E103</f>
        <v>375000</v>
      </c>
      <c r="D104" s="63">
        <f>+D103</f>
        <v>46875</v>
      </c>
      <c r="E104" s="63">
        <f>C104-D104</f>
        <v>328125</v>
      </c>
      <c r="F104" s="63">
        <f>+E104*0.12/4</f>
        <v>9843.75</v>
      </c>
      <c r="G104" s="63"/>
      <c r="H104" s="106"/>
      <c r="I104" s="58"/>
      <c r="J104" s="58"/>
      <c r="K104" s="58"/>
      <c r="L104" s="58"/>
      <c r="M104" s="58"/>
    </row>
    <row r="105" spans="2:13" ht="12.75">
      <c r="B105" s="72" t="s">
        <v>135</v>
      </c>
      <c r="C105" s="63">
        <f>+E104</f>
        <v>328125</v>
      </c>
      <c r="D105" s="63">
        <f>+D102</f>
        <v>46875</v>
      </c>
      <c r="E105" s="63">
        <f>C105-D105</f>
        <v>281250</v>
      </c>
      <c r="F105" s="63">
        <f>+E105*0.12/4</f>
        <v>8437.5</v>
      </c>
      <c r="G105" s="63">
        <f>SUM(F102:F105)</f>
        <v>42187.5</v>
      </c>
      <c r="H105" s="106"/>
      <c r="I105" s="58"/>
      <c r="J105" s="58"/>
      <c r="K105" s="58"/>
      <c r="L105" s="58"/>
      <c r="M105" s="58"/>
    </row>
    <row r="106" spans="2:13" ht="12.75">
      <c r="B106" s="72"/>
      <c r="C106" s="63"/>
      <c r="D106" s="63"/>
      <c r="E106" s="63"/>
      <c r="F106" s="63"/>
      <c r="G106" s="63"/>
      <c r="H106" s="106"/>
      <c r="I106" s="58"/>
      <c r="J106" s="58"/>
      <c r="K106" s="58"/>
      <c r="L106" s="58"/>
      <c r="M106" s="58"/>
    </row>
    <row r="107" spans="2:13" ht="12.75">
      <c r="B107" s="72" t="s">
        <v>129</v>
      </c>
      <c r="C107" s="63"/>
      <c r="D107" s="63"/>
      <c r="E107" s="63"/>
      <c r="F107" s="63"/>
      <c r="G107" s="63"/>
      <c r="H107" s="106"/>
      <c r="I107" s="58"/>
      <c r="J107" s="58"/>
      <c r="K107" s="58"/>
      <c r="L107" s="58"/>
      <c r="M107" s="58"/>
    </row>
    <row r="108" spans="2:13" ht="12.75">
      <c r="B108" s="72" t="s">
        <v>132</v>
      </c>
      <c r="C108" s="63">
        <f>+E105</f>
        <v>281250</v>
      </c>
      <c r="D108" s="63">
        <f>+D105</f>
        <v>46875</v>
      </c>
      <c r="E108" s="63">
        <f>C108-D108</f>
        <v>234375</v>
      </c>
      <c r="F108" s="63">
        <f>+E108*0.12/4</f>
        <v>7031.25</v>
      </c>
      <c r="G108" s="63"/>
      <c r="H108" s="106"/>
      <c r="I108" s="58"/>
      <c r="J108" s="58"/>
      <c r="K108" s="58"/>
      <c r="L108" s="58"/>
      <c r="M108" s="58"/>
    </row>
    <row r="109" spans="2:13" ht="12.75">
      <c r="B109" s="72" t="s">
        <v>133</v>
      </c>
      <c r="C109" s="63">
        <f>+E108</f>
        <v>234375</v>
      </c>
      <c r="D109" s="63">
        <f>+D108</f>
        <v>46875</v>
      </c>
      <c r="E109" s="63">
        <f>C109-D109</f>
        <v>187500</v>
      </c>
      <c r="F109" s="63">
        <f>+E109*0.12/4</f>
        <v>5625</v>
      </c>
      <c r="G109" s="63"/>
      <c r="H109" s="106"/>
      <c r="I109" s="58"/>
      <c r="J109" s="58"/>
      <c r="K109" s="58"/>
      <c r="L109" s="58"/>
      <c r="M109" s="58"/>
    </row>
    <row r="110" spans="2:13" ht="12.75">
      <c r="B110" s="72" t="s">
        <v>134</v>
      </c>
      <c r="C110" s="63">
        <f>+E109</f>
        <v>187500</v>
      </c>
      <c r="D110" s="63">
        <f>+D109</f>
        <v>46875</v>
      </c>
      <c r="E110" s="63">
        <f>C110-D110</f>
        <v>140625</v>
      </c>
      <c r="F110" s="63">
        <f>+E110*0.12/4</f>
        <v>4218.75</v>
      </c>
      <c r="G110" s="63"/>
      <c r="H110" s="106"/>
      <c r="I110" s="58"/>
      <c r="J110" s="58"/>
      <c r="K110" s="58"/>
      <c r="L110" s="58"/>
      <c r="M110" s="58"/>
    </row>
    <row r="111" spans="2:13" ht="12.75">
      <c r="B111" s="72" t="s">
        <v>135</v>
      </c>
      <c r="C111" s="63">
        <f>+E110</f>
        <v>140625</v>
      </c>
      <c r="D111" s="63">
        <f>+D110</f>
        <v>46875</v>
      </c>
      <c r="E111" s="63">
        <f>C111-D111</f>
        <v>93750</v>
      </c>
      <c r="F111" s="63">
        <f>+E111*0.12/4</f>
        <v>2812.5</v>
      </c>
      <c r="G111" s="63">
        <f>SUM(F108:F111)</f>
        <v>19687.5</v>
      </c>
      <c r="H111" s="106"/>
      <c r="I111" s="58"/>
      <c r="J111" s="58"/>
      <c r="K111" s="58"/>
      <c r="L111" s="58"/>
      <c r="M111" s="58"/>
    </row>
    <row r="112" spans="2:13" ht="12.75">
      <c r="B112" s="72"/>
      <c r="C112" s="63"/>
      <c r="D112" s="63"/>
      <c r="E112" s="63"/>
      <c r="F112" s="63"/>
      <c r="G112" s="63"/>
      <c r="H112" s="106"/>
      <c r="I112" s="58"/>
      <c r="J112" s="58"/>
      <c r="K112" s="58"/>
      <c r="L112" s="58"/>
      <c r="M112" s="58"/>
    </row>
    <row r="113" spans="2:13" ht="12.75">
      <c r="B113" s="72" t="s">
        <v>130</v>
      </c>
      <c r="C113" s="63"/>
      <c r="D113" s="63"/>
      <c r="E113" s="63"/>
      <c r="F113" s="63"/>
      <c r="G113" s="63"/>
      <c r="H113" s="106"/>
      <c r="I113" s="58"/>
      <c r="J113" s="58"/>
      <c r="K113" s="58"/>
      <c r="L113" s="58"/>
      <c r="M113" s="58"/>
    </row>
    <row r="114" spans="2:13" ht="12.75">
      <c r="B114" s="72" t="s">
        <v>132</v>
      </c>
      <c r="C114" s="63">
        <f>+E111</f>
        <v>93750</v>
      </c>
      <c r="D114" s="63">
        <f>+D111</f>
        <v>46875</v>
      </c>
      <c r="E114" s="63">
        <f>C114-D114</f>
        <v>46875</v>
      </c>
      <c r="F114" s="63">
        <f>+E114*0.12/4</f>
        <v>1406.25</v>
      </c>
      <c r="G114" s="63"/>
      <c r="H114" s="106"/>
      <c r="I114" s="58"/>
      <c r="J114" s="58"/>
      <c r="K114" s="58"/>
      <c r="L114" s="58"/>
      <c r="M114" s="58"/>
    </row>
    <row r="115" spans="2:13" ht="12.75">
      <c r="B115" s="72" t="s">
        <v>133</v>
      </c>
      <c r="C115" s="63">
        <f>+E114</f>
        <v>46875</v>
      </c>
      <c r="D115" s="63">
        <f>+D114</f>
        <v>46875</v>
      </c>
      <c r="E115" s="63">
        <f>C115-D115</f>
        <v>0</v>
      </c>
      <c r="F115" s="63">
        <f>+E115*0.12/4</f>
        <v>0</v>
      </c>
      <c r="G115" s="63"/>
      <c r="H115" s="106"/>
      <c r="I115" s="58"/>
      <c r="J115" s="58"/>
      <c r="K115" s="58"/>
      <c r="L115" s="58"/>
      <c r="M115" s="58"/>
    </row>
    <row r="116" spans="2:13" ht="12.75">
      <c r="B116" s="72"/>
      <c r="C116" s="63"/>
      <c r="D116" s="63"/>
      <c r="E116" s="63"/>
      <c r="F116" s="63"/>
      <c r="G116" s="63"/>
      <c r="H116" s="106"/>
      <c r="I116" s="58"/>
      <c r="J116" s="58"/>
      <c r="K116" s="58"/>
      <c r="L116" s="58"/>
      <c r="M116" s="58"/>
    </row>
    <row r="117" spans="2:13" ht="12.75">
      <c r="B117" s="72"/>
      <c r="C117" s="63"/>
      <c r="D117" s="63">
        <f>SUM(D88:D115)</f>
        <v>750000</v>
      </c>
      <c r="E117" s="63"/>
      <c r="F117" s="63"/>
      <c r="G117" s="63"/>
      <c r="H117" s="106"/>
      <c r="I117" s="58"/>
      <c r="J117" s="58"/>
      <c r="K117" s="58"/>
      <c r="L117" s="58"/>
      <c r="M117" s="58"/>
    </row>
    <row r="118" spans="2:13" ht="12.75">
      <c r="B118" s="72"/>
      <c r="C118" s="63"/>
      <c r="D118" s="63"/>
      <c r="E118" s="63"/>
      <c r="F118" s="63"/>
      <c r="G118" s="63"/>
      <c r="H118" s="106"/>
      <c r="I118" s="58"/>
      <c r="J118" s="58"/>
      <c r="K118" s="58"/>
      <c r="L118" s="58"/>
      <c r="M118" s="58"/>
    </row>
    <row r="119" spans="2:8" ht="12.75">
      <c r="B119" s="106"/>
      <c r="C119" s="58"/>
      <c r="D119" s="58"/>
      <c r="E119" s="58"/>
      <c r="F119" s="58"/>
      <c r="G119" s="58"/>
      <c r="H119" s="106"/>
    </row>
    <row r="120" spans="2:8" ht="25.5">
      <c r="B120" s="140" t="s">
        <v>118</v>
      </c>
      <c r="C120" s="76"/>
      <c r="D120" s="76"/>
      <c r="E120" s="76"/>
      <c r="F120" s="76"/>
      <c r="G120" s="76"/>
      <c r="H120" s="139"/>
    </row>
    <row r="122" spans="2:7" ht="38.25">
      <c r="B122" s="137" t="s">
        <v>53</v>
      </c>
      <c r="C122" s="138"/>
      <c r="D122" s="138" t="s">
        <v>147</v>
      </c>
      <c r="E122" s="138" t="s">
        <v>148</v>
      </c>
      <c r="F122" s="138" t="s">
        <v>153</v>
      </c>
      <c r="G122" s="138" t="str">
        <f>+F122</f>
        <v>Total Cost(Rs.)</v>
      </c>
    </row>
    <row r="123" spans="2:7" ht="12.75">
      <c r="B123" s="108" t="s">
        <v>15</v>
      </c>
      <c r="C123" s="63"/>
      <c r="D123" s="63"/>
      <c r="E123" s="63"/>
      <c r="F123" s="92"/>
      <c r="G123" s="92"/>
    </row>
    <row r="124" spans="2:7" ht="12.75">
      <c r="B124" s="109" t="s">
        <v>14</v>
      </c>
      <c r="C124" s="63"/>
      <c r="D124" s="63">
        <v>1</v>
      </c>
      <c r="E124" s="63">
        <v>35000</v>
      </c>
      <c r="F124" s="92">
        <v>35000</v>
      </c>
      <c r="G124" s="92"/>
    </row>
    <row r="125" spans="2:7" ht="12.75">
      <c r="B125" s="109" t="s">
        <v>154</v>
      </c>
      <c r="C125" s="63"/>
      <c r="D125" s="63">
        <v>21</v>
      </c>
      <c r="E125" s="63">
        <v>18000</v>
      </c>
      <c r="F125" s="92">
        <v>360000</v>
      </c>
      <c r="G125" s="92"/>
    </row>
    <row r="126" spans="2:7" ht="38.25">
      <c r="B126" s="109" t="s">
        <v>54</v>
      </c>
      <c r="C126" s="63"/>
      <c r="D126" s="63"/>
      <c r="E126" s="63"/>
      <c r="F126" s="92">
        <v>121000</v>
      </c>
      <c r="G126" s="92"/>
    </row>
    <row r="127" spans="2:7" ht="12.75">
      <c r="B127" s="109" t="s">
        <v>42</v>
      </c>
      <c r="C127" s="63"/>
      <c r="D127" s="63"/>
      <c r="E127" s="63"/>
      <c r="F127" s="92">
        <v>6000</v>
      </c>
      <c r="G127" s="92"/>
    </row>
    <row r="128" spans="2:7" ht="25.5">
      <c r="B128" s="109" t="s">
        <v>24</v>
      </c>
      <c r="C128" s="63"/>
      <c r="D128" s="63"/>
      <c r="E128" s="63"/>
      <c r="F128" s="92">
        <v>10000</v>
      </c>
      <c r="G128" s="92">
        <f>SUM(F124:F128)</f>
        <v>532000</v>
      </c>
    </row>
    <row r="129" spans="2:7" ht="12.75">
      <c r="B129" s="109"/>
      <c r="C129" s="63"/>
      <c r="D129" s="63"/>
      <c r="E129" s="63"/>
      <c r="F129" s="92"/>
      <c r="G129" s="92"/>
    </row>
    <row r="130" spans="2:7" ht="12.75">
      <c r="B130" s="110" t="s">
        <v>19</v>
      </c>
      <c r="C130" s="63"/>
      <c r="D130" s="63"/>
      <c r="E130" s="63"/>
      <c r="F130" s="92"/>
      <c r="G130" s="92"/>
    </row>
    <row r="131" spans="2:7" ht="12.75">
      <c r="B131" s="109" t="s">
        <v>23</v>
      </c>
      <c r="C131" s="63"/>
      <c r="D131" s="63">
        <v>1</v>
      </c>
      <c r="E131" s="63">
        <v>30000</v>
      </c>
      <c r="F131" s="92">
        <v>30000</v>
      </c>
      <c r="G131" s="92"/>
    </row>
    <row r="132" spans="2:7" ht="12.75">
      <c r="B132" s="109" t="s">
        <v>25</v>
      </c>
      <c r="C132" s="63"/>
      <c r="D132" s="63"/>
      <c r="E132" s="63"/>
      <c r="F132" s="92">
        <v>40000</v>
      </c>
      <c r="G132" s="92"/>
    </row>
    <row r="133" spans="2:7" ht="38.25">
      <c r="B133" s="109" t="s">
        <v>22</v>
      </c>
      <c r="C133" s="63"/>
      <c r="D133" s="63">
        <v>1</v>
      </c>
      <c r="E133" s="63">
        <v>20000</v>
      </c>
      <c r="F133" s="92">
        <v>20000</v>
      </c>
      <c r="G133" s="92"/>
    </row>
    <row r="134" spans="2:7" ht="12.75">
      <c r="B134" s="109" t="s">
        <v>21</v>
      </c>
      <c r="C134" s="63"/>
      <c r="D134" s="63">
        <v>1</v>
      </c>
      <c r="E134" s="63">
        <v>140000</v>
      </c>
      <c r="F134" s="92">
        <v>140000</v>
      </c>
      <c r="G134" s="92"/>
    </row>
    <row r="135" spans="2:7" ht="25.5">
      <c r="B135" s="109" t="s">
        <v>149</v>
      </c>
      <c r="C135" s="63"/>
      <c r="D135" s="63">
        <v>1</v>
      </c>
      <c r="E135" s="63">
        <v>18000</v>
      </c>
      <c r="F135" s="92">
        <f>+D135*E135</f>
        <v>18000</v>
      </c>
      <c r="G135" s="92"/>
    </row>
    <row r="136" spans="2:7" ht="12.75">
      <c r="B136" s="109" t="s">
        <v>152</v>
      </c>
      <c r="C136" s="63"/>
      <c r="D136" s="63">
        <v>1</v>
      </c>
      <c r="E136" s="63">
        <v>25000</v>
      </c>
      <c r="F136" s="92">
        <f>+D136*E136</f>
        <v>25000</v>
      </c>
      <c r="G136" s="92">
        <f>SUM(F131:F136)</f>
        <v>273000</v>
      </c>
    </row>
    <row r="137" spans="2:7" ht="12.75">
      <c r="B137" s="110" t="s">
        <v>20</v>
      </c>
      <c r="C137" s="63"/>
      <c r="D137" s="63"/>
      <c r="E137" s="63"/>
      <c r="F137" s="92"/>
      <c r="G137" s="92"/>
    </row>
    <row r="138" spans="2:7" ht="25.5">
      <c r="B138" s="109" t="s">
        <v>17</v>
      </c>
      <c r="C138" s="63"/>
      <c r="D138" s="63">
        <v>60</v>
      </c>
      <c r="E138" s="63">
        <v>600</v>
      </c>
      <c r="F138" s="92">
        <v>36000</v>
      </c>
      <c r="G138" s="92"/>
    </row>
    <row r="139" spans="2:7" ht="12.75">
      <c r="B139" s="109" t="s">
        <v>151</v>
      </c>
      <c r="C139" s="63"/>
      <c r="D139" s="63"/>
      <c r="E139" s="63"/>
      <c r="F139" s="92">
        <v>20000</v>
      </c>
      <c r="G139" s="92"/>
    </row>
    <row r="140" spans="2:7" ht="25.5">
      <c r="B140" s="109" t="s">
        <v>155</v>
      </c>
      <c r="C140" s="63"/>
      <c r="D140" s="63"/>
      <c r="E140" s="63"/>
      <c r="F140" s="92">
        <v>86000</v>
      </c>
      <c r="G140" s="92"/>
    </row>
    <row r="141" spans="2:7" ht="25.5">
      <c r="B141" s="109" t="s">
        <v>18</v>
      </c>
      <c r="C141" s="63"/>
      <c r="D141" s="63"/>
      <c r="E141" s="63"/>
      <c r="F141" s="92">
        <v>13000</v>
      </c>
      <c r="G141" s="92"/>
    </row>
    <row r="142" spans="2:6" ht="25.5">
      <c r="B142" s="109" t="s">
        <v>16</v>
      </c>
      <c r="C142" s="63"/>
      <c r="D142" s="63"/>
      <c r="E142" s="63"/>
      <c r="F142" s="92">
        <v>30000</v>
      </c>
    </row>
    <row r="143" spans="2:7" ht="12.75">
      <c r="B143" s="111" t="s">
        <v>150</v>
      </c>
      <c r="C143" s="63"/>
      <c r="D143" s="63"/>
      <c r="E143" s="63"/>
      <c r="F143" s="92">
        <v>10000</v>
      </c>
      <c r="G143" s="92">
        <f>SUM(F138:F143)</f>
        <v>195000</v>
      </c>
    </row>
    <row r="144" spans="2:7" ht="29.25">
      <c r="B144" s="112" t="s">
        <v>138</v>
      </c>
      <c r="C144" s="63"/>
      <c r="D144" s="63"/>
      <c r="E144" s="63"/>
      <c r="F144" s="92"/>
      <c r="G144" s="93">
        <f>+G143+G136+G128</f>
        <v>1000000</v>
      </c>
    </row>
  </sheetData>
  <sheetProtection/>
  <mergeCells count="5">
    <mergeCell ref="B1:M1"/>
    <mergeCell ref="B3:M3"/>
    <mergeCell ref="B20:M20"/>
    <mergeCell ref="B35:M35"/>
    <mergeCell ref="B2:M2"/>
  </mergeCells>
  <hyperlinks>
    <hyperlink ref="C16" r:id="rId1" display="+C15-@sum(C5:C13)"/>
    <hyperlink ref="D16" r:id="rId2" display="+D15-@sum(D5:D12)"/>
    <hyperlink ref="E16" r:id="rId3" display="+E15-@sum(E5:E13)"/>
    <hyperlink ref="F16" r:id="rId4" display="+F15-@sum(F5:F13)"/>
    <hyperlink ref="G16" r:id="rId5" display="+G15-@sum(G5:G12)"/>
  </hyperlinks>
  <printOptions horizontalCentered="1"/>
  <pageMargins left="0.7" right="0.7" top="0.75" bottom="0.75" header="0.3" footer="0.3"/>
  <pageSetup horizontalDpi="600" verticalDpi="600" orientation="landscape" scale="76" r:id="rId6"/>
  <rowBreaks count="5" manualBreakCount="5">
    <brk id="19" min="1" max="12" man="1"/>
    <brk id="33" min="1" max="12" man="1"/>
    <brk id="57" min="1" max="12" man="1"/>
    <brk id="84" min="1" max="12" man="1"/>
    <brk id="119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="90" zoomScaleNormal="90" zoomScalePageLayoutView="0" workbookViewId="0" topLeftCell="A49">
      <selection activeCell="A57" sqref="A57:C75"/>
    </sheetView>
  </sheetViews>
  <sheetFormatPr defaultColWidth="9.140625" defaultRowHeight="12.75"/>
  <cols>
    <col min="1" max="1" width="42.140625" style="0" customWidth="1"/>
    <col min="2" max="2" width="14.140625" style="0" customWidth="1"/>
    <col min="3" max="3" width="14.8515625" style="0" customWidth="1"/>
    <col min="4" max="4" width="21.00390625" style="0" customWidth="1"/>
    <col min="5" max="5" width="15.28125" style="0" customWidth="1"/>
    <col min="6" max="6" width="20.28125" style="0" customWidth="1"/>
    <col min="7" max="7" width="13.00390625" style="0" customWidth="1"/>
    <col min="8" max="8" width="20.140625" style="0" customWidth="1"/>
    <col min="9" max="9" width="12.57421875" style="0" customWidth="1"/>
    <col min="10" max="10" width="20.57421875" style="0" customWidth="1"/>
    <col min="11" max="11" width="13.57421875" style="0" customWidth="1"/>
    <col min="12" max="12" width="20.421875" style="0" customWidth="1"/>
    <col min="13" max="13" width="12.00390625" style="0" customWidth="1"/>
  </cols>
  <sheetData>
    <row r="1" spans="1:12" ht="20.25">
      <c r="A1" s="134" t="s">
        <v>9</v>
      </c>
      <c r="B1" s="133"/>
      <c r="C1" s="133"/>
      <c r="D1" s="133"/>
      <c r="E1" s="133"/>
      <c r="F1" s="9"/>
      <c r="L1" s="71"/>
    </row>
    <row r="2" spans="1:6" ht="20.25">
      <c r="A2" s="135" t="s">
        <v>10</v>
      </c>
      <c r="B2" s="135"/>
      <c r="C2" s="135"/>
      <c r="D2" s="135"/>
      <c r="E2" s="135"/>
      <c r="F2" s="10"/>
    </row>
    <row r="3" spans="1:6" ht="20.25">
      <c r="A3" s="135" t="s">
        <v>11</v>
      </c>
      <c r="B3" s="135"/>
      <c r="C3" s="135"/>
      <c r="D3" s="135"/>
      <c r="E3" s="135"/>
      <c r="F3" s="10"/>
    </row>
    <row r="4" spans="1:6" ht="15.75">
      <c r="A4" s="136" t="s">
        <v>12</v>
      </c>
      <c r="B4" s="136"/>
      <c r="C4" s="136"/>
      <c r="D4" s="136"/>
      <c r="E4" s="136"/>
      <c r="F4" s="11"/>
    </row>
    <row r="5" spans="1:6" ht="15.75">
      <c r="A5" s="132" t="s">
        <v>13</v>
      </c>
      <c r="B5" s="133"/>
      <c r="C5" s="133"/>
      <c r="D5" s="133"/>
      <c r="E5" s="133"/>
      <c r="F5" s="8"/>
    </row>
    <row r="7" ht="12.75">
      <c r="A7" s="2" t="s">
        <v>0</v>
      </c>
    </row>
    <row r="8" ht="12.75">
      <c r="A8" s="6" t="s">
        <v>1</v>
      </c>
    </row>
    <row r="9" spans="1:11" ht="13.5" thickBot="1">
      <c r="A9" s="36" t="s">
        <v>55</v>
      </c>
      <c r="C9" s="3">
        <v>1000000</v>
      </c>
      <c r="E9" s="5">
        <f>D11</f>
        <v>830000</v>
      </c>
      <c r="G9" s="14">
        <f>F11</f>
        <v>688900</v>
      </c>
      <c r="I9" s="14">
        <f>H11</f>
        <v>571787</v>
      </c>
      <c r="J9" s="14"/>
      <c r="K9" s="15">
        <f>J11+179000</f>
        <v>653583.21</v>
      </c>
    </row>
    <row r="10" spans="1:12" ht="13.5" thickTop="1">
      <c r="A10" s="36" t="s">
        <v>61</v>
      </c>
      <c r="C10" s="3">
        <v>100000</v>
      </c>
      <c r="E10" s="16">
        <v>100000</v>
      </c>
      <c r="G10" s="14">
        <v>100000</v>
      </c>
      <c r="I10" s="14">
        <v>100000</v>
      </c>
      <c r="J10" s="14"/>
      <c r="K10" s="15">
        <v>100000</v>
      </c>
      <c r="L10" s="14">
        <v>500000</v>
      </c>
    </row>
    <row r="11" spans="1:12" ht="13.5" thickBot="1">
      <c r="A11" s="37" t="s">
        <v>56</v>
      </c>
      <c r="C11" s="4">
        <f>C9*0.17</f>
        <v>170000</v>
      </c>
      <c r="D11" s="5">
        <f>C9-C11</f>
        <v>830000</v>
      </c>
      <c r="E11" s="4">
        <f>E9*0.17</f>
        <v>141100</v>
      </c>
      <c r="F11" s="5">
        <f>E9-E11</f>
        <v>688900</v>
      </c>
      <c r="G11" s="4">
        <f>G9*0.17</f>
        <v>117113.00000000001</v>
      </c>
      <c r="H11" s="5">
        <f>G9-G11</f>
        <v>571787</v>
      </c>
      <c r="I11" s="4">
        <f>I9*0.17</f>
        <v>97203.79000000001</v>
      </c>
      <c r="J11" s="5">
        <f>I9-I11</f>
        <v>474583.20999999996</v>
      </c>
      <c r="K11" s="4">
        <f>K9*0.17</f>
        <v>111109.14570000001</v>
      </c>
      <c r="L11" s="17">
        <f>K11+I11+G11+E11+C11</f>
        <v>636525.9357</v>
      </c>
    </row>
    <row r="12" spans="3:11" ht="13.5" thickTop="1">
      <c r="C12" s="12" t="s">
        <v>29</v>
      </c>
      <c r="D12" s="13"/>
      <c r="E12" s="13" t="s">
        <v>30</v>
      </c>
      <c r="F12" s="13"/>
      <c r="G12" s="13" t="s">
        <v>31</v>
      </c>
      <c r="H12" s="13"/>
      <c r="I12" s="13" t="s">
        <v>32</v>
      </c>
      <c r="J12" s="13"/>
      <c r="K12" s="13" t="s">
        <v>33</v>
      </c>
    </row>
    <row r="13" spans="1:12" ht="12.75">
      <c r="A13" s="6" t="s">
        <v>2</v>
      </c>
      <c r="B13" s="18" t="s">
        <v>4</v>
      </c>
      <c r="C13" s="19" t="s">
        <v>5</v>
      </c>
      <c r="D13" s="18" t="s">
        <v>6</v>
      </c>
      <c r="E13" s="19" t="s">
        <v>5</v>
      </c>
      <c r="F13" s="18" t="s">
        <v>34</v>
      </c>
      <c r="G13" s="19" t="s">
        <v>5</v>
      </c>
      <c r="H13" s="18" t="s">
        <v>35</v>
      </c>
      <c r="I13" s="19" t="s">
        <v>5</v>
      </c>
      <c r="J13" s="18" t="s">
        <v>36</v>
      </c>
      <c r="K13" s="19" t="s">
        <v>5</v>
      </c>
      <c r="L13" s="18" t="s">
        <v>37</v>
      </c>
    </row>
    <row r="14" spans="1:13" ht="12.75">
      <c r="A14" s="1" t="s">
        <v>3</v>
      </c>
      <c r="B14" s="3">
        <f>C63</f>
        <v>532000</v>
      </c>
      <c r="C14" s="3">
        <f>B18*0.2</f>
        <v>200000</v>
      </c>
      <c r="D14" s="3">
        <f>B14-C14</f>
        <v>332000</v>
      </c>
      <c r="E14" s="3">
        <f>D18*0.2</f>
        <v>160000</v>
      </c>
      <c r="F14" s="3">
        <f>D14-E14</f>
        <v>172000</v>
      </c>
      <c r="G14" s="3">
        <f>F18*0.2</f>
        <v>128000</v>
      </c>
      <c r="H14" s="3">
        <f>F14-G14</f>
        <v>44000</v>
      </c>
      <c r="I14" s="3">
        <f>H18*0.2</f>
        <v>102400</v>
      </c>
      <c r="J14" s="3">
        <f>H14-I14</f>
        <v>-58400</v>
      </c>
      <c r="K14" s="3">
        <f>J18*0.2</f>
        <v>81920</v>
      </c>
      <c r="L14" s="3">
        <f>J14-K14</f>
        <v>-140320</v>
      </c>
      <c r="M14" s="3"/>
    </row>
    <row r="15" spans="1:12" ht="12.75">
      <c r="A15" s="1" t="s">
        <v>7</v>
      </c>
      <c r="B15" s="3">
        <f>C73</f>
        <v>243000</v>
      </c>
      <c r="C15" s="3"/>
      <c r="D15" s="3">
        <f>B15-C15</f>
        <v>243000</v>
      </c>
      <c r="E15" s="3"/>
      <c r="F15" s="3">
        <f>D15-E15</f>
        <v>243000</v>
      </c>
      <c r="G15" s="3"/>
      <c r="H15" s="3">
        <f>F15-G15</f>
        <v>243000</v>
      </c>
      <c r="I15" s="3"/>
      <c r="J15" s="3">
        <f>H15-I15</f>
        <v>243000</v>
      </c>
      <c r="K15" s="3"/>
      <c r="L15" s="3">
        <f>J15-K15</f>
        <v>243000</v>
      </c>
    </row>
    <row r="16" spans="1:12" ht="12.75">
      <c r="A16" s="1" t="s">
        <v>8</v>
      </c>
      <c r="B16" s="3">
        <f>C68</f>
        <v>225000</v>
      </c>
      <c r="C16" s="3"/>
      <c r="D16" s="3">
        <f>B16-C16</f>
        <v>225000</v>
      </c>
      <c r="E16" s="3"/>
      <c r="F16" s="3">
        <f>D16-E16</f>
        <v>225000</v>
      </c>
      <c r="G16" s="3"/>
      <c r="H16" s="3">
        <f>F16-G16</f>
        <v>225000</v>
      </c>
      <c r="I16" s="3"/>
      <c r="J16" s="3">
        <f>H16-I16</f>
        <v>225000</v>
      </c>
      <c r="K16" s="3"/>
      <c r="L16" s="3">
        <f>J16-K16</f>
        <v>225000</v>
      </c>
    </row>
    <row r="17" spans="1:4" ht="12.75">
      <c r="A17" s="1"/>
      <c r="B17" s="4"/>
      <c r="C17" s="4"/>
      <c r="D17" s="3"/>
    </row>
    <row r="18" spans="2:12" ht="13.5" thickBot="1">
      <c r="B18" s="7">
        <f>SUM(B14:B16)</f>
        <v>1000000</v>
      </c>
      <c r="C18" s="7">
        <f>SUM(C14:C16)</f>
        <v>200000</v>
      </c>
      <c r="D18" s="7">
        <f>SUM(D14:D16)</f>
        <v>800000</v>
      </c>
      <c r="E18" s="7">
        <f aca="true" t="shared" si="0" ref="E18:L18">SUM(E14:E16)</f>
        <v>160000</v>
      </c>
      <c r="F18" s="7">
        <f t="shared" si="0"/>
        <v>640000</v>
      </c>
      <c r="G18" s="7">
        <f t="shared" si="0"/>
        <v>128000</v>
      </c>
      <c r="H18" s="7">
        <f t="shared" si="0"/>
        <v>512000</v>
      </c>
      <c r="I18" s="7">
        <f t="shared" si="0"/>
        <v>102400</v>
      </c>
      <c r="J18" s="7">
        <f t="shared" si="0"/>
        <v>409600</v>
      </c>
      <c r="K18" s="7">
        <f t="shared" si="0"/>
        <v>81920</v>
      </c>
      <c r="L18" s="7">
        <f t="shared" si="0"/>
        <v>327680</v>
      </c>
    </row>
    <row r="19" ht="14.25" thickBot="1" thickTop="1">
      <c r="C19" s="3"/>
    </row>
    <row r="20" spans="1:8" ht="24" thickTop="1">
      <c r="A20" s="124" t="s">
        <v>60</v>
      </c>
      <c r="B20" s="125"/>
      <c r="C20" s="125"/>
      <c r="D20" s="125"/>
      <c r="E20" s="125"/>
      <c r="F20" s="125"/>
      <c r="G20" s="125"/>
      <c r="H20" s="126"/>
    </row>
    <row r="21" spans="1:8" ht="12.75">
      <c r="A21" s="38" t="s">
        <v>52</v>
      </c>
      <c r="B21" s="39"/>
      <c r="C21" s="40"/>
      <c r="D21" s="39"/>
      <c r="E21" s="39"/>
      <c r="F21" s="39"/>
      <c r="G21" s="39"/>
      <c r="H21" s="41"/>
    </row>
    <row r="22" spans="1:8" ht="12.75">
      <c r="A22" s="42" t="s">
        <v>47</v>
      </c>
      <c r="B22" s="43"/>
      <c r="C22" s="43">
        <v>20</v>
      </c>
      <c r="D22" s="43"/>
      <c r="E22" s="43">
        <v>40</v>
      </c>
      <c r="F22" s="43"/>
      <c r="G22" s="43">
        <v>60</v>
      </c>
      <c r="H22" s="44"/>
    </row>
    <row r="23" spans="1:8" ht="12.75">
      <c r="A23" s="42" t="s">
        <v>46</v>
      </c>
      <c r="B23" s="45"/>
      <c r="C23" s="45">
        <v>7428</v>
      </c>
      <c r="D23" s="43"/>
      <c r="E23" s="45">
        <v>7428</v>
      </c>
      <c r="F23" s="43"/>
      <c r="G23" s="45">
        <v>7428</v>
      </c>
      <c r="H23" s="44"/>
    </row>
    <row r="24" spans="1:8" ht="12.75">
      <c r="A24" s="42" t="s">
        <v>48</v>
      </c>
      <c r="B24" s="43"/>
      <c r="C24" s="43"/>
      <c r="D24" s="43"/>
      <c r="E24" s="43"/>
      <c r="F24" s="43"/>
      <c r="G24" s="43"/>
      <c r="H24" s="44"/>
    </row>
    <row r="25" spans="1:8" ht="12.75">
      <c r="A25" s="42" t="s">
        <v>49</v>
      </c>
      <c r="B25" s="43"/>
      <c r="C25" s="45">
        <f>(C22*C23)/3</f>
        <v>49520</v>
      </c>
      <c r="D25" s="43"/>
      <c r="E25" s="45">
        <f>(E22*E23)/3</f>
        <v>99040</v>
      </c>
      <c r="F25" s="43"/>
      <c r="G25" s="45">
        <f>(G22*G23)/3</f>
        <v>148560</v>
      </c>
      <c r="H25" s="44"/>
    </row>
    <row r="26" spans="1:8" ht="15.75" thickBot="1">
      <c r="A26" s="42" t="s">
        <v>50</v>
      </c>
      <c r="B26" s="43"/>
      <c r="C26" s="43"/>
      <c r="D26" s="29">
        <f>(C25*12)</f>
        <v>594240</v>
      </c>
      <c r="E26" s="46"/>
      <c r="F26" s="29">
        <f>(E25*12)</f>
        <v>1188480</v>
      </c>
      <c r="G26" s="46"/>
      <c r="H26" s="47">
        <f>(G25*12)</f>
        <v>1782720</v>
      </c>
    </row>
    <row r="27" spans="1:8" ht="13.5" thickTop="1">
      <c r="A27" s="38" t="s">
        <v>44</v>
      </c>
      <c r="B27" s="48" t="s">
        <v>45</v>
      </c>
      <c r="C27" s="39"/>
      <c r="D27" s="39"/>
      <c r="E27" s="39"/>
      <c r="F27" s="39"/>
      <c r="G27" s="39"/>
      <c r="H27" s="41"/>
    </row>
    <row r="28" spans="1:8" ht="12.75">
      <c r="A28" s="49" t="s">
        <v>38</v>
      </c>
      <c r="B28" s="21">
        <v>12000</v>
      </c>
      <c r="C28" s="50"/>
      <c r="D28" s="50"/>
      <c r="E28" s="50"/>
      <c r="F28" s="50"/>
      <c r="G28" s="50"/>
      <c r="H28" s="51"/>
    </row>
    <row r="29" spans="1:8" ht="12.75">
      <c r="A29" s="49" t="s">
        <v>39</v>
      </c>
      <c r="B29" s="21">
        <v>10000</v>
      </c>
      <c r="C29" s="50"/>
      <c r="D29" s="50"/>
      <c r="E29" s="50"/>
      <c r="F29" s="50"/>
      <c r="G29" s="50"/>
      <c r="H29" s="51"/>
    </row>
    <row r="30" spans="1:8" ht="12.75">
      <c r="A30" s="49" t="s">
        <v>40</v>
      </c>
      <c r="B30" s="21">
        <v>7000</v>
      </c>
      <c r="C30" s="50"/>
      <c r="D30" s="50"/>
      <c r="E30" s="50"/>
      <c r="F30" s="50"/>
      <c r="G30" s="50"/>
      <c r="H30" s="51"/>
    </row>
    <row r="31" spans="1:8" ht="12.75">
      <c r="A31" s="49" t="s">
        <v>28</v>
      </c>
      <c r="B31" s="21">
        <v>10000</v>
      </c>
      <c r="C31" s="50"/>
      <c r="D31" s="50"/>
      <c r="E31" s="50"/>
      <c r="F31" s="50"/>
      <c r="G31" s="50"/>
      <c r="H31" s="51"/>
    </row>
    <row r="32" spans="1:8" ht="12.75">
      <c r="A32" s="49" t="s">
        <v>41</v>
      </c>
      <c r="B32" s="21">
        <v>5000</v>
      </c>
      <c r="C32" s="50"/>
      <c r="D32" s="50"/>
      <c r="E32" s="50"/>
      <c r="F32" s="50"/>
      <c r="G32" s="50"/>
      <c r="H32" s="51"/>
    </row>
    <row r="33" spans="1:8" ht="12.75">
      <c r="A33" s="49" t="s">
        <v>27</v>
      </c>
      <c r="B33" s="20">
        <f>10*1200</f>
        <v>12000</v>
      </c>
      <c r="C33" s="50"/>
      <c r="D33" s="50"/>
      <c r="E33" s="50"/>
      <c r="F33" s="50"/>
      <c r="G33" s="50"/>
      <c r="H33" s="51"/>
    </row>
    <row r="34" spans="1:8" ht="13.5" thickBot="1">
      <c r="A34" s="49" t="s">
        <v>26</v>
      </c>
      <c r="B34" s="21">
        <f>SUM(B28:B33)</f>
        <v>56000</v>
      </c>
      <c r="C34" s="50"/>
      <c r="D34" s="50"/>
      <c r="E34" s="50"/>
      <c r="F34" s="50"/>
      <c r="G34" s="50"/>
      <c r="H34" s="51"/>
    </row>
    <row r="35" spans="1:8" s="32" customFormat="1" ht="15.75" thickTop="1">
      <c r="A35" s="49" t="s">
        <v>51</v>
      </c>
      <c r="B35" s="28"/>
      <c r="C35" s="50"/>
      <c r="D35" s="30">
        <f>(B34*12)</f>
        <v>672000</v>
      </c>
      <c r="E35" s="52"/>
      <c r="F35" s="30">
        <f>(D35*12*0.1)</f>
        <v>806400</v>
      </c>
      <c r="G35" s="52"/>
      <c r="H35" s="53">
        <f>(F35*12*0.1)</f>
        <v>967680</v>
      </c>
    </row>
    <row r="36" spans="1:8" s="32" customFormat="1" ht="16.5" thickBot="1">
      <c r="A36" s="54" t="s">
        <v>57</v>
      </c>
      <c r="B36" s="55"/>
      <c r="C36" s="55"/>
      <c r="D36" s="56">
        <f>D26-D35</f>
        <v>-77760</v>
      </c>
      <c r="E36" s="56">
        <f>E26-E35</f>
        <v>0</v>
      </c>
      <c r="F36" s="56">
        <f>F26-F35</f>
        <v>382080</v>
      </c>
      <c r="G36" s="56">
        <f>G26-G35</f>
        <v>0</v>
      </c>
      <c r="H36" s="57">
        <f>H26-H35</f>
        <v>815040</v>
      </c>
    </row>
    <row r="37" spans="1:8" s="32" customFormat="1" ht="16.5" thickTop="1">
      <c r="A37" s="33"/>
      <c r="B37" s="34"/>
      <c r="C37" s="34"/>
      <c r="D37" s="35"/>
      <c r="E37" s="35"/>
      <c r="F37" s="35"/>
      <c r="G37" s="35"/>
      <c r="H37" s="35"/>
    </row>
    <row r="38" spans="1:8" s="32" customFormat="1" ht="16.5" thickBot="1">
      <c r="A38" s="33"/>
      <c r="B38" s="34"/>
      <c r="C38" s="34"/>
      <c r="D38" s="35"/>
      <c r="E38" s="35"/>
      <c r="F38" s="35"/>
      <c r="G38" s="35"/>
      <c r="H38" s="35"/>
    </row>
    <row r="39" spans="1:8" s="32" customFormat="1" ht="24" thickTop="1">
      <c r="A39" s="124" t="s">
        <v>59</v>
      </c>
      <c r="B39" s="125"/>
      <c r="C39" s="125"/>
      <c r="D39" s="125"/>
      <c r="E39" s="125"/>
      <c r="F39" s="125"/>
      <c r="G39" s="125"/>
      <c r="H39" s="126"/>
    </row>
    <row r="40" spans="1:8" s="32" customFormat="1" ht="12.75">
      <c r="A40" s="38" t="s">
        <v>52</v>
      </c>
      <c r="B40" s="39"/>
      <c r="C40" s="40"/>
      <c r="D40" s="39"/>
      <c r="E40" s="39"/>
      <c r="F40" s="39"/>
      <c r="G40" s="39"/>
      <c r="H40" s="41"/>
    </row>
    <row r="41" spans="1:8" s="32" customFormat="1" ht="12.75">
      <c r="A41" s="42" t="s">
        <v>58</v>
      </c>
      <c r="B41" s="43"/>
      <c r="C41" s="43">
        <v>30</v>
      </c>
      <c r="D41" s="43"/>
      <c r="E41" s="43">
        <v>60</v>
      </c>
      <c r="F41" s="43"/>
      <c r="G41" s="43">
        <v>90</v>
      </c>
      <c r="H41" s="44"/>
    </row>
    <row r="42" spans="1:8" s="32" customFormat="1" ht="12.75">
      <c r="A42" s="42" t="s">
        <v>46</v>
      </c>
      <c r="B42" s="45"/>
      <c r="C42" s="45">
        <v>7428</v>
      </c>
      <c r="D42" s="43"/>
      <c r="E42" s="45">
        <v>7428</v>
      </c>
      <c r="F42" s="43"/>
      <c r="G42" s="45">
        <v>7428</v>
      </c>
      <c r="H42" s="44"/>
    </row>
    <row r="43" spans="1:8" s="32" customFormat="1" ht="12.75">
      <c r="A43" s="42" t="s">
        <v>48</v>
      </c>
      <c r="B43" s="43"/>
      <c r="C43" s="43"/>
      <c r="D43" s="43"/>
      <c r="E43" s="43"/>
      <c r="F43" s="43"/>
      <c r="G43" s="43"/>
      <c r="H43" s="44"/>
    </row>
    <row r="44" spans="1:8" s="32" customFormat="1" ht="12.75">
      <c r="A44" s="42" t="s">
        <v>49</v>
      </c>
      <c r="B44" s="43"/>
      <c r="C44" s="45">
        <f>(C41*C42)/3</f>
        <v>74280</v>
      </c>
      <c r="D44" s="43"/>
      <c r="E44" s="45">
        <f>(E41*E42)/3</f>
        <v>148560</v>
      </c>
      <c r="F44" s="43"/>
      <c r="G44" s="45">
        <f>(G41*G42)/3</f>
        <v>222840</v>
      </c>
      <c r="H44" s="44"/>
    </row>
    <row r="45" spans="1:8" s="32" customFormat="1" ht="15.75" thickBot="1">
      <c r="A45" s="42" t="s">
        <v>50</v>
      </c>
      <c r="B45" s="43"/>
      <c r="C45" s="43"/>
      <c r="D45" s="29">
        <f>(C44*12)</f>
        <v>891360</v>
      </c>
      <c r="E45" s="46"/>
      <c r="F45" s="29">
        <f>(E44*12)</f>
        <v>1782720</v>
      </c>
      <c r="G45" s="46"/>
      <c r="H45" s="47">
        <f>(G44*12)</f>
        <v>2674080</v>
      </c>
    </row>
    <row r="46" spans="1:8" s="32" customFormat="1" ht="13.5" thickTop="1">
      <c r="A46" s="38" t="s">
        <v>44</v>
      </c>
      <c r="B46" s="48" t="s">
        <v>45</v>
      </c>
      <c r="C46" s="39"/>
      <c r="D46" s="39"/>
      <c r="E46" s="39"/>
      <c r="F46" s="39"/>
      <c r="G46" s="39"/>
      <c r="H46" s="41"/>
    </row>
    <row r="47" spans="1:8" ht="12.75">
      <c r="A47" s="49" t="s">
        <v>38</v>
      </c>
      <c r="B47" s="21">
        <v>12000</v>
      </c>
      <c r="C47" s="50"/>
      <c r="D47" s="50"/>
      <c r="E47" s="50"/>
      <c r="F47" s="50"/>
      <c r="G47" s="50"/>
      <c r="H47" s="51"/>
    </row>
    <row r="48" spans="1:8" ht="12.75">
      <c r="A48" s="49" t="s">
        <v>39</v>
      </c>
      <c r="B48" s="21">
        <v>10000</v>
      </c>
      <c r="C48" s="50"/>
      <c r="D48" s="50"/>
      <c r="E48" s="50"/>
      <c r="F48" s="50"/>
      <c r="G48" s="50"/>
      <c r="H48" s="51"/>
    </row>
    <row r="49" spans="1:8" ht="12.75">
      <c r="A49" s="49" t="s">
        <v>40</v>
      </c>
      <c r="B49" s="21">
        <v>7000</v>
      </c>
      <c r="C49" s="50"/>
      <c r="D49" s="50"/>
      <c r="E49" s="50"/>
      <c r="F49" s="50"/>
      <c r="G49" s="50"/>
      <c r="H49" s="51"/>
    </row>
    <row r="50" spans="1:8" ht="12.75">
      <c r="A50" s="49" t="s">
        <v>28</v>
      </c>
      <c r="B50" s="21">
        <v>15000</v>
      </c>
      <c r="C50" s="50"/>
      <c r="D50" s="50"/>
      <c r="E50" s="50"/>
      <c r="F50" s="50"/>
      <c r="G50" s="50"/>
      <c r="H50" s="51"/>
    </row>
    <row r="51" spans="1:8" ht="12.75">
      <c r="A51" s="49" t="s">
        <v>41</v>
      </c>
      <c r="B51" s="21">
        <v>7500</v>
      </c>
      <c r="C51" s="50"/>
      <c r="D51" s="50"/>
      <c r="E51" s="50"/>
      <c r="F51" s="50"/>
      <c r="G51" s="50"/>
      <c r="H51" s="51"/>
    </row>
    <row r="52" spans="1:8" ht="12.75">
      <c r="A52" s="49" t="s">
        <v>27</v>
      </c>
      <c r="B52" s="20">
        <f>10*1500</f>
        <v>15000</v>
      </c>
      <c r="C52" s="50"/>
      <c r="D52" s="50"/>
      <c r="E52" s="50"/>
      <c r="F52" s="50"/>
      <c r="G52" s="50"/>
      <c r="H52" s="51"/>
    </row>
    <row r="53" spans="1:8" ht="13.5" thickBot="1">
      <c r="A53" s="49" t="s">
        <v>26</v>
      </c>
      <c r="B53" s="21">
        <f>SUM(B47:B52)</f>
        <v>66500</v>
      </c>
      <c r="C53" s="50"/>
      <c r="D53" s="50"/>
      <c r="E53" s="50"/>
      <c r="F53" s="50"/>
      <c r="G53" s="50"/>
      <c r="H53" s="51"/>
    </row>
    <row r="54" spans="1:8" ht="15.75" thickTop="1">
      <c r="A54" s="49" t="s">
        <v>51</v>
      </c>
      <c r="B54" s="28"/>
      <c r="C54" s="50"/>
      <c r="D54" s="30">
        <f>(B53*12)</f>
        <v>798000</v>
      </c>
      <c r="E54" s="52"/>
      <c r="F54" s="30">
        <f>(D54*12*0.1)</f>
        <v>957600</v>
      </c>
      <c r="G54" s="52"/>
      <c r="H54" s="53">
        <f>(F54*12*0.1)</f>
        <v>1149120</v>
      </c>
    </row>
    <row r="55" spans="1:8" ht="16.5" thickBot="1">
      <c r="A55" s="54" t="s">
        <v>57</v>
      </c>
      <c r="B55" s="55"/>
      <c r="C55" s="55"/>
      <c r="D55" s="56">
        <f>D45-D54</f>
        <v>93360</v>
      </c>
      <c r="E55" s="56">
        <f>E45-E54</f>
        <v>0</v>
      </c>
      <c r="F55" s="56">
        <f>F45-F54</f>
        <v>825120</v>
      </c>
      <c r="G55" s="56">
        <f>G45-G54</f>
        <v>0</v>
      </c>
      <c r="H55" s="57">
        <f>H45-H54</f>
        <v>1524960</v>
      </c>
    </row>
    <row r="56" ht="13.5" thickTop="1"/>
    <row r="57" spans="1:3" ht="12.75">
      <c r="A57" s="22" t="s">
        <v>53</v>
      </c>
      <c r="B57" s="23"/>
      <c r="C57" s="23"/>
    </row>
    <row r="58" spans="1:3" ht="12.75">
      <c r="A58" s="22" t="s">
        <v>15</v>
      </c>
      <c r="B58" s="23"/>
      <c r="C58" s="23"/>
    </row>
    <row r="59" spans="1:3" ht="12.75">
      <c r="A59" s="24" t="s">
        <v>14</v>
      </c>
      <c r="B59" s="23">
        <v>35000</v>
      </c>
      <c r="C59" s="23"/>
    </row>
    <row r="60" spans="1:3" ht="12.75">
      <c r="A60" s="24" t="s">
        <v>72</v>
      </c>
      <c r="B60" s="23">
        <v>360000</v>
      </c>
      <c r="C60" s="23"/>
    </row>
    <row r="61" spans="1:3" ht="12.75">
      <c r="A61" s="24" t="s">
        <v>54</v>
      </c>
      <c r="B61" s="23">
        <v>121000</v>
      </c>
      <c r="C61" s="23"/>
    </row>
    <row r="62" spans="1:3" ht="12.75">
      <c r="A62" s="24" t="s">
        <v>42</v>
      </c>
      <c r="B62" s="23">
        <v>6000</v>
      </c>
      <c r="C62" s="23"/>
    </row>
    <row r="63" spans="1:3" ht="12.75">
      <c r="A63" s="24" t="s">
        <v>24</v>
      </c>
      <c r="B63" s="23">
        <v>10000</v>
      </c>
      <c r="C63" s="23">
        <f>SUM(B59:B63)</f>
        <v>532000</v>
      </c>
    </row>
    <row r="64" spans="1:3" ht="12.75">
      <c r="A64" s="25" t="s">
        <v>19</v>
      </c>
      <c r="B64" s="23"/>
      <c r="C64" s="23"/>
    </row>
    <row r="65" spans="1:3" ht="12.75">
      <c r="A65" s="24" t="s">
        <v>23</v>
      </c>
      <c r="B65" s="23">
        <v>30000</v>
      </c>
      <c r="C65" s="23"/>
    </row>
    <row r="66" spans="1:3" ht="12.75">
      <c r="A66" s="24" t="s">
        <v>25</v>
      </c>
      <c r="B66" s="23">
        <v>35000</v>
      </c>
      <c r="C66" s="23"/>
    </row>
    <row r="67" spans="1:3" ht="12.75">
      <c r="A67" s="24" t="s">
        <v>22</v>
      </c>
      <c r="B67" s="23">
        <v>20000</v>
      </c>
      <c r="C67" s="23"/>
    </row>
    <row r="68" spans="1:3" ht="12.75">
      <c r="A68" s="24" t="s">
        <v>21</v>
      </c>
      <c r="B68" s="23">
        <v>140000</v>
      </c>
      <c r="C68" s="23">
        <f>SUM(B65:B68)</f>
        <v>225000</v>
      </c>
    </row>
    <row r="69" spans="1:4" ht="12.75">
      <c r="A69" s="24"/>
      <c r="B69" s="23"/>
      <c r="C69" s="23"/>
      <c r="D69" s="31" t="s">
        <v>66</v>
      </c>
    </row>
    <row r="70" spans="1:9" ht="15">
      <c r="A70" s="25" t="s">
        <v>20</v>
      </c>
      <c r="B70" s="23"/>
      <c r="C70" s="23"/>
      <c r="E70" s="127" t="s">
        <v>63</v>
      </c>
      <c r="F70" s="127"/>
      <c r="G70" s="128"/>
      <c r="H70" s="62">
        <v>1</v>
      </c>
      <c r="I70" s="63"/>
    </row>
    <row r="71" spans="1:9" ht="15.75">
      <c r="A71" s="24" t="s">
        <v>17</v>
      </c>
      <c r="B71" s="23">
        <v>200000</v>
      </c>
      <c r="C71" s="23"/>
      <c r="E71" s="59" t="s">
        <v>64</v>
      </c>
      <c r="F71" s="60"/>
      <c r="G71" s="61"/>
      <c r="H71" s="64">
        <v>21</v>
      </c>
      <c r="I71" s="65"/>
    </row>
    <row r="72" spans="1:9" ht="15.75">
      <c r="A72" s="24" t="s">
        <v>18</v>
      </c>
      <c r="B72" s="23">
        <v>13000</v>
      </c>
      <c r="C72" s="23"/>
      <c r="E72" s="129" t="s">
        <v>67</v>
      </c>
      <c r="F72" s="130"/>
      <c r="G72" s="131"/>
      <c r="H72" s="64">
        <v>21</v>
      </c>
      <c r="I72" s="65"/>
    </row>
    <row r="73" spans="1:9" ht="15">
      <c r="A73" s="24" t="s">
        <v>16</v>
      </c>
      <c r="B73" s="23">
        <v>30000</v>
      </c>
      <c r="C73" s="23">
        <f>SUM(B71:B73)</f>
        <v>243000</v>
      </c>
      <c r="H73" s="66" t="s">
        <v>65</v>
      </c>
      <c r="I73" s="67">
        <v>100000</v>
      </c>
    </row>
    <row r="74" spans="1:13" ht="12.75">
      <c r="A74" s="23"/>
      <c r="B74" s="23"/>
      <c r="C74" s="23"/>
      <c r="H74" s="68" t="s">
        <v>68</v>
      </c>
      <c r="I74" s="63">
        <v>21000</v>
      </c>
      <c r="K74" s="70"/>
      <c r="L74" s="58"/>
      <c r="M74" s="58"/>
    </row>
    <row r="75" spans="1:9" ht="15">
      <c r="A75" s="26" t="s">
        <v>43</v>
      </c>
      <c r="B75" s="23"/>
      <c r="C75" s="27">
        <f>SUM(C63+C68+C73)</f>
        <v>1000000</v>
      </c>
      <c r="I75" s="69">
        <v>121000</v>
      </c>
    </row>
    <row r="79" spans="1:3" ht="12.75">
      <c r="A79" s="22" t="s">
        <v>53</v>
      </c>
      <c r="B79" s="23"/>
      <c r="C79" s="23"/>
    </row>
    <row r="80" spans="1:3" ht="12.75">
      <c r="A80" s="22" t="s">
        <v>62</v>
      </c>
      <c r="B80" s="23"/>
      <c r="C80" s="23"/>
    </row>
    <row r="81" spans="1:3" ht="12.75">
      <c r="A81" s="24" t="s">
        <v>14</v>
      </c>
      <c r="B81" s="23">
        <v>37500</v>
      </c>
      <c r="C81" s="23"/>
    </row>
    <row r="82" spans="1:3" ht="12.75">
      <c r="A82" s="24" t="s">
        <v>71</v>
      </c>
      <c r="B82" s="24">
        <f>360000+180000</f>
        <v>540000</v>
      </c>
      <c r="C82" s="23"/>
    </row>
    <row r="83" spans="1:3" ht="12.75">
      <c r="A83" s="24" t="s">
        <v>54</v>
      </c>
      <c r="B83" s="23">
        <v>181500</v>
      </c>
      <c r="C83" s="23"/>
    </row>
    <row r="84" spans="1:3" ht="12.75">
      <c r="A84" s="24" t="s">
        <v>42</v>
      </c>
      <c r="B84" s="23">
        <v>6000</v>
      </c>
      <c r="C84" s="23"/>
    </row>
    <row r="85" spans="1:3" ht="12.75">
      <c r="A85" s="24" t="s">
        <v>24</v>
      </c>
      <c r="B85" s="23">
        <v>15000</v>
      </c>
      <c r="C85" s="23">
        <f>SUM(B81:B85)</f>
        <v>780000</v>
      </c>
    </row>
    <row r="86" spans="1:4" ht="12.75">
      <c r="A86" s="25" t="s">
        <v>19</v>
      </c>
      <c r="B86" s="23"/>
      <c r="C86" s="23"/>
      <c r="D86" s="31" t="s">
        <v>66</v>
      </c>
    </row>
    <row r="87" spans="1:9" ht="15">
      <c r="A87" s="24" t="s">
        <v>69</v>
      </c>
      <c r="B87" s="23">
        <v>60000</v>
      </c>
      <c r="C87" s="23"/>
      <c r="E87" s="127" t="s">
        <v>63</v>
      </c>
      <c r="F87" s="127"/>
      <c r="G87" s="128"/>
      <c r="H87" s="62">
        <v>1</v>
      </c>
      <c r="I87" s="63"/>
    </row>
    <row r="88" spans="1:9" ht="15.75">
      <c r="A88" s="24" t="s">
        <v>25</v>
      </c>
      <c r="B88" s="23">
        <v>35000</v>
      </c>
      <c r="C88" s="23"/>
      <c r="E88" s="59" t="s">
        <v>64</v>
      </c>
      <c r="F88" s="60"/>
      <c r="G88" s="61"/>
      <c r="H88" s="64">
        <v>31</v>
      </c>
      <c r="I88" s="65"/>
    </row>
    <row r="89" spans="1:9" ht="15.75">
      <c r="A89" s="24" t="s">
        <v>22</v>
      </c>
      <c r="B89" s="23">
        <v>20000</v>
      </c>
      <c r="C89" s="23"/>
      <c r="E89" s="129" t="s">
        <v>67</v>
      </c>
      <c r="F89" s="130"/>
      <c r="G89" s="131"/>
      <c r="H89" s="64">
        <v>31</v>
      </c>
      <c r="I89" s="65"/>
    </row>
    <row r="90" spans="1:9" ht="15">
      <c r="A90" s="24" t="s">
        <v>70</v>
      </c>
      <c r="B90" s="23">
        <v>140000</v>
      </c>
      <c r="C90" s="23">
        <f>SUM(B87:B90)</f>
        <v>255000</v>
      </c>
      <c r="H90" s="66" t="s">
        <v>65</v>
      </c>
      <c r="I90" s="67">
        <v>150000</v>
      </c>
    </row>
    <row r="91" spans="1:9" ht="12.75">
      <c r="A91" s="24"/>
      <c r="B91" s="23"/>
      <c r="C91" s="23"/>
      <c r="H91" s="68" t="s">
        <v>68</v>
      </c>
      <c r="I91" s="63">
        <v>31500</v>
      </c>
    </row>
    <row r="92" spans="1:9" ht="12.75">
      <c r="A92" s="25" t="s">
        <v>20</v>
      </c>
      <c r="B92" s="23"/>
      <c r="C92" s="23"/>
      <c r="I92" s="69">
        <v>181500</v>
      </c>
    </row>
    <row r="93" spans="1:3" ht="12.75">
      <c r="A93" s="24" t="s">
        <v>17</v>
      </c>
      <c r="B93" s="23">
        <v>300000</v>
      </c>
      <c r="C93" s="23"/>
    </row>
    <row r="94" spans="1:3" ht="12.75">
      <c r="A94" s="24" t="s">
        <v>18</v>
      </c>
      <c r="B94" s="23">
        <v>20000</v>
      </c>
      <c r="C94" s="23"/>
    </row>
    <row r="95" spans="1:3" ht="12.75">
      <c r="A95" s="24" t="s">
        <v>16</v>
      </c>
      <c r="B95" s="23">
        <v>45000</v>
      </c>
      <c r="C95" s="23">
        <f>SUM(B93:B95)</f>
        <v>365000</v>
      </c>
    </row>
    <row r="96" spans="1:3" ht="12.75">
      <c r="A96" s="23"/>
      <c r="B96" s="23"/>
      <c r="C96" s="23"/>
    </row>
    <row r="97" spans="1:3" ht="15">
      <c r="A97" s="26" t="s">
        <v>43</v>
      </c>
      <c r="B97" s="23"/>
      <c r="C97" s="27">
        <f>SUM(C85+C90+C95)</f>
        <v>1400000</v>
      </c>
    </row>
  </sheetData>
  <sheetProtection/>
  <mergeCells count="11">
    <mergeCell ref="A1:E1"/>
    <mergeCell ref="A2:E2"/>
    <mergeCell ref="A3:E3"/>
    <mergeCell ref="A4:E4"/>
    <mergeCell ref="A39:H39"/>
    <mergeCell ref="A20:H20"/>
    <mergeCell ref="E70:G70"/>
    <mergeCell ref="E72:G72"/>
    <mergeCell ref="E87:G87"/>
    <mergeCell ref="E89:G89"/>
    <mergeCell ref="A5:E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M/S PRADEEP ASSICO.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PRADEEP</dc:creator>
  <cp:keywords/>
  <dc:description/>
  <cp:lastModifiedBy>p puneet</cp:lastModifiedBy>
  <cp:lastPrinted>2016-10-05T11:39:58Z</cp:lastPrinted>
  <dcterms:created xsi:type="dcterms:W3CDTF">2000-03-16T08:06:59Z</dcterms:created>
  <dcterms:modified xsi:type="dcterms:W3CDTF">2016-10-05T18:52:03Z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